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oséPaiva\Desktop\"/>
    </mc:Choice>
  </mc:AlternateContent>
  <xr:revisionPtr revIDLastSave="0" documentId="13_ncr:1_{2CD1D5F9-478E-43DF-9569-9B5D67B4DA1B}" xr6:coauthVersionLast="47" xr6:coauthVersionMax="47" xr10:uidLastSave="{00000000-0000-0000-0000-000000000000}"/>
  <bookViews>
    <workbookView xWindow="-120" yWindow="-120" windowWidth="29040" windowHeight="15840" xr2:uid="{CA2DC04D-156E-4FED-8B77-DFDA21E58B60}"/>
  </bookViews>
  <sheets>
    <sheet name="SIMULADOR" sheetId="16" r:id="rId1"/>
    <sheet name="Calculo Auxiliares" sheetId="15" r:id="rId2"/>
  </sheets>
  <definedNames>
    <definedName name="_xlnm.Print_Area" localSheetId="1">'Calculo Auxiliares'!$A$1:$K$41</definedName>
    <definedName name="DEPREC" localSheetId="1">'Calculo Auxiliares'!$D$5</definedName>
    <definedName name="DEPR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6" l="1"/>
  <c r="F33" i="16" s="1"/>
  <c r="G33" i="16" s="1"/>
  <c r="H33" i="16" s="1"/>
  <c r="I33" i="16" s="1"/>
  <c r="J33" i="16" s="1"/>
  <c r="K33" i="16" s="1"/>
  <c r="D33" i="16"/>
  <c r="D5" i="15"/>
  <c r="D39" i="16"/>
  <c r="D38" i="16"/>
  <c r="D44" i="16" s="1"/>
  <c r="D29" i="16"/>
  <c r="E29" i="16" s="1"/>
  <c r="F29" i="16" s="1"/>
  <c r="G29" i="16" s="1"/>
  <c r="H29" i="16" s="1"/>
  <c r="I29" i="16" s="1"/>
  <c r="J29" i="16" s="1"/>
  <c r="K29" i="16" s="1"/>
  <c r="Q14" i="15" s="1"/>
  <c r="D27" i="16"/>
  <c r="E27" i="16" s="1"/>
  <c r="P8" i="15" s="1"/>
  <c r="C23" i="16"/>
  <c r="D6" i="15" s="1"/>
  <c r="F12" i="15" s="1"/>
  <c r="F18" i="15" s="1"/>
  <c r="F40" i="16"/>
  <c r="G40" i="16" s="1"/>
  <c r="H40" i="16" s="1"/>
  <c r="I40" i="16" s="1"/>
  <c r="J40" i="16" s="1"/>
  <c r="K40" i="16" s="1"/>
  <c r="E39" i="16"/>
  <c r="E34" i="16"/>
  <c r="F34" i="16" s="1"/>
  <c r="G34" i="16" s="1"/>
  <c r="H34" i="16" s="1"/>
  <c r="I34" i="16" s="1"/>
  <c r="J34" i="16" s="1"/>
  <c r="K34" i="16" s="1"/>
  <c r="E35" i="16"/>
  <c r="F35" i="16" s="1"/>
  <c r="G35" i="16" s="1"/>
  <c r="H35" i="16" s="1"/>
  <c r="I35" i="16" s="1"/>
  <c r="J35" i="16" s="1"/>
  <c r="K35" i="16" s="1"/>
  <c r="J28" i="15"/>
  <c r="K28" i="15"/>
  <c r="L28" i="15"/>
  <c r="F32" i="15"/>
  <c r="G32" i="15"/>
  <c r="H32" i="15"/>
  <c r="I32" i="15"/>
  <c r="J32" i="15"/>
  <c r="K32" i="15"/>
  <c r="L32" i="15"/>
  <c r="E32" i="15"/>
  <c r="I27" i="15"/>
  <c r="I28" i="15" s="1"/>
  <c r="H27" i="15"/>
  <c r="H28" i="15" s="1"/>
  <c r="G27" i="15"/>
  <c r="G28" i="15" s="1"/>
  <c r="F27" i="15"/>
  <c r="F28" i="15" s="1"/>
  <c r="E27" i="15"/>
  <c r="E28" i="15" s="1"/>
  <c r="P7" i="15" l="1"/>
  <c r="E38" i="16"/>
  <c r="F38" i="16" s="1"/>
  <c r="G38" i="16" s="1"/>
  <c r="H38" i="16" s="1"/>
  <c r="I38" i="16" s="1"/>
  <c r="J38" i="16" s="1"/>
  <c r="K38" i="16" s="1"/>
  <c r="Q7" i="15"/>
  <c r="S7" i="15" s="1"/>
  <c r="D42" i="16"/>
  <c r="D43" i="16"/>
  <c r="E11" i="15" s="1"/>
  <c r="H12" i="15"/>
  <c r="H18" i="15" s="1"/>
  <c r="D22" i="15"/>
  <c r="D27" i="15" s="1"/>
  <c r="D28" i="15" s="1"/>
  <c r="D30" i="15" s="1"/>
  <c r="D31" i="15" s="1"/>
  <c r="L12" i="15"/>
  <c r="L18" i="15" s="1"/>
  <c r="K12" i="15"/>
  <c r="K18" i="15" s="1"/>
  <c r="J12" i="15"/>
  <c r="J18" i="15" s="1"/>
  <c r="E12" i="15"/>
  <c r="E18" i="15" s="1"/>
  <c r="G12" i="15"/>
  <c r="G18" i="15" s="1"/>
  <c r="I12" i="15"/>
  <c r="I18" i="15" s="1"/>
  <c r="S14" i="15"/>
  <c r="E43" i="16"/>
  <c r="F39" i="16"/>
  <c r="E42" i="16"/>
  <c r="Q8" i="15"/>
  <c r="S8" i="15" s="1"/>
  <c r="Q9" i="15"/>
  <c r="S9" i="15" s="1"/>
  <c r="Q10" i="15"/>
  <c r="S10" i="15" s="1"/>
  <c r="Q11" i="15"/>
  <c r="S11" i="15" s="1"/>
  <c r="Q12" i="15"/>
  <c r="S12" i="15" s="1"/>
  <c r="Q13" i="15"/>
  <c r="S13" i="15" s="1"/>
  <c r="F27" i="16"/>
  <c r="T7" i="15" l="1"/>
  <c r="E44" i="16"/>
  <c r="F11" i="15" s="1"/>
  <c r="F44" i="16"/>
  <c r="E9" i="15"/>
  <c r="E10" i="15" s="1"/>
  <c r="F23" i="15"/>
  <c r="K23" i="15"/>
  <c r="G23" i="15"/>
  <c r="E23" i="15"/>
  <c r="G39" i="16"/>
  <c r="H39" i="16" s="1"/>
  <c r="I39" i="16" s="1"/>
  <c r="J39" i="16" s="1"/>
  <c r="K39" i="16" s="1"/>
  <c r="K44" i="16" s="1"/>
  <c r="D24" i="15"/>
  <c r="I23" i="15"/>
  <c r="J23" i="15"/>
  <c r="L23" i="15"/>
  <c r="H23" i="15"/>
  <c r="F42" i="16"/>
  <c r="F43" i="16"/>
  <c r="F9" i="15"/>
  <c r="F10" i="15" s="1"/>
  <c r="P9" i="15"/>
  <c r="G9" i="15" s="1"/>
  <c r="G10" i="15" s="1"/>
  <c r="G27" i="16"/>
  <c r="T8" i="15"/>
  <c r="D33" i="15"/>
  <c r="D34" i="15" s="1"/>
  <c r="G11" i="15" l="1"/>
  <c r="E24" i="15"/>
  <c r="F24" i="15" s="1"/>
  <c r="G24" i="15" s="1"/>
  <c r="H24" i="15" s="1"/>
  <c r="I24" i="15" s="1"/>
  <c r="J24" i="15" s="1"/>
  <c r="K24" i="15" s="1"/>
  <c r="L24" i="15" s="1"/>
  <c r="G44" i="16"/>
  <c r="J44" i="16"/>
  <c r="H44" i="16"/>
  <c r="I44" i="16"/>
  <c r="G42" i="16"/>
  <c r="G43" i="16"/>
  <c r="T9" i="15"/>
  <c r="H27" i="16"/>
  <c r="P10" i="15"/>
  <c r="H9" i="15" s="1"/>
  <c r="H10" i="15" s="1"/>
  <c r="H11" i="15" l="1"/>
  <c r="H42" i="16"/>
  <c r="H43" i="16"/>
  <c r="I11" i="15" s="1"/>
  <c r="T10" i="15"/>
  <c r="I27" i="16"/>
  <c r="P11" i="15"/>
  <c r="I9" i="15" s="1"/>
  <c r="I10" i="15" s="1"/>
  <c r="M24" i="15"/>
  <c r="I42" i="16" l="1"/>
  <c r="I43" i="16"/>
  <c r="J11" i="15" s="1"/>
  <c r="T11" i="15"/>
  <c r="J27" i="16"/>
  <c r="P12" i="15"/>
  <c r="J9" i="15" s="1"/>
  <c r="J10" i="15" s="1"/>
  <c r="J42" i="16" l="1"/>
  <c r="J43" i="16"/>
  <c r="K11" i="15" s="1"/>
  <c r="T12" i="15"/>
  <c r="K27" i="16"/>
  <c r="K43" i="16" s="1"/>
  <c r="L11" i="15" s="1"/>
  <c r="P13" i="15"/>
  <c r="K9" i="15" s="1"/>
  <c r="K10" i="15" s="1"/>
  <c r="P14" i="15" l="1"/>
  <c r="T14" i="15" s="1"/>
  <c r="K42" i="16"/>
  <c r="T13" i="15"/>
  <c r="L13" i="15"/>
  <c r="K13" i="15"/>
  <c r="K14" i="15" s="1"/>
  <c r="J13" i="15"/>
  <c r="J14" i="15" s="1"/>
  <c r="I13" i="15"/>
  <c r="I14" i="15" s="1"/>
  <c r="E13" i="15"/>
  <c r="E14" i="15" s="1"/>
  <c r="G13" i="15"/>
  <c r="G14" i="15" s="1"/>
  <c r="F13" i="15"/>
  <c r="F14" i="15" s="1"/>
  <c r="H13" i="15"/>
  <c r="H14" i="15" s="1"/>
  <c r="L9" i="15" l="1"/>
  <c r="L10" i="15" s="1"/>
  <c r="L14" i="15" s="1"/>
  <c r="L15" i="15" s="1"/>
  <c r="L16" i="15" s="1"/>
  <c r="L17" i="15" s="1"/>
  <c r="L19" i="15" s="1"/>
  <c r="L29" i="15" s="1"/>
  <c r="L30" i="15" s="1"/>
  <c r="L33" i="15" s="1"/>
  <c r="G15" i="15"/>
  <c r="G16" i="15" s="1"/>
  <c r="G17" i="15" s="1"/>
  <c r="G19" i="15" s="1"/>
  <c r="G29" i="15" s="1"/>
  <c r="G30" i="15" s="1"/>
  <c r="G33" i="15" s="1"/>
  <c r="J15" i="15"/>
  <c r="J16" i="15" s="1"/>
  <c r="J17" i="15" s="1"/>
  <c r="J19" i="15" s="1"/>
  <c r="J29" i="15" s="1"/>
  <c r="J30" i="15" s="1"/>
  <c r="J33" i="15" s="1"/>
  <c r="H15" i="15"/>
  <c r="H16" i="15" s="1"/>
  <c r="H17" i="15" s="1"/>
  <c r="H19" i="15" s="1"/>
  <c r="H29" i="15" s="1"/>
  <c r="H30" i="15" s="1"/>
  <c r="H33" i="15" s="1"/>
  <c r="E15" i="15"/>
  <c r="E16" i="15" s="1"/>
  <c r="E17" i="15" s="1"/>
  <c r="K15" i="15"/>
  <c r="K16" i="15" s="1"/>
  <c r="K17" i="15" s="1"/>
  <c r="K19" i="15" s="1"/>
  <c r="K29" i="15" s="1"/>
  <c r="K30" i="15" s="1"/>
  <c r="K33" i="15" s="1"/>
  <c r="F15" i="15"/>
  <c r="F16" i="15" s="1"/>
  <c r="F17" i="15" s="1"/>
  <c r="F19" i="15" s="1"/>
  <c r="F29" i="15" s="1"/>
  <c r="F30" i="15" s="1"/>
  <c r="F33" i="15" s="1"/>
  <c r="I15" i="15"/>
  <c r="I16" i="15" s="1"/>
  <c r="I17" i="15" s="1"/>
  <c r="I19" i="15" s="1"/>
  <c r="I29" i="15" s="1"/>
  <c r="I30" i="15" s="1"/>
  <c r="I33" i="15" s="1"/>
  <c r="D35" i="15" l="1"/>
  <c r="M17" i="15"/>
  <c r="E19" i="15"/>
  <c r="E29" i="15" s="1"/>
  <c r="E30" i="15" s="1"/>
  <c r="E31" i="15" l="1"/>
  <c r="F31" i="15" s="1"/>
  <c r="G31" i="15" s="1"/>
  <c r="H31" i="15" s="1"/>
  <c r="D37" i="15"/>
  <c r="E13" i="16" s="1"/>
  <c r="M30" i="15"/>
  <c r="E33" i="15"/>
  <c r="I8" i="16" l="1"/>
  <c r="D36" i="15"/>
  <c r="E15" i="16" s="1"/>
  <c r="E34" i="15"/>
  <c r="F34" i="15" s="1"/>
  <c r="G34" i="15" s="1"/>
  <c r="H34" i="15" s="1"/>
  <c r="I34" i="15" s="1"/>
  <c r="J34" i="15" s="1"/>
  <c r="D38" i="15"/>
  <c r="I31" i="15"/>
  <c r="J31" i="15" s="1"/>
  <c r="K31" i="15" s="1"/>
  <c r="L31" i="15" s="1"/>
  <c r="E38" i="15" l="1"/>
  <c r="F38" i="15" s="1"/>
  <c r="I15" i="16" s="1"/>
  <c r="I14" i="16"/>
  <c r="I13" i="16"/>
  <c r="K34" i="15"/>
  <c r="L34" i="15" s="1"/>
  <c r="D39" i="15"/>
</calcChain>
</file>

<file path=xl/sharedStrings.xml><?xml version="1.0" encoding="utf-8"?>
<sst xmlns="http://schemas.openxmlformats.org/spreadsheetml/2006/main" count="126" uniqueCount="99">
  <si>
    <t>ANO 1</t>
  </si>
  <si>
    <t>ANO 2</t>
  </si>
  <si>
    <t>ANO 3</t>
  </si>
  <si>
    <t>ANO 4</t>
  </si>
  <si>
    <t>ANO 5</t>
  </si>
  <si>
    <t>ANO 6</t>
  </si>
  <si>
    <t>INVESTIMENTO</t>
  </si>
  <si>
    <t>TIR</t>
  </si>
  <si>
    <t>DADOS GERAIS DO PROJECTO</t>
  </si>
  <si>
    <t>ANO 0</t>
  </si>
  <si>
    <t>INVESTIMENTO INICIAL</t>
  </si>
  <si>
    <t>DADOS DA DEMONSTRAÇÃO DOS RESULTADOS</t>
  </si>
  <si>
    <t>TAXA DE DESCONTO</t>
  </si>
  <si>
    <t>PRAZO DE FINANCIAMENTO</t>
  </si>
  <si>
    <t>ANOS</t>
  </si>
  <si>
    <t>Euros</t>
  </si>
  <si>
    <t>VAL</t>
  </si>
  <si>
    <t>VENDAS</t>
  </si>
  <si>
    <t>DEPRECIAÇÕES</t>
  </si>
  <si>
    <t>RAIEF</t>
  </si>
  <si>
    <t>TOTAL DE RENDIMENTOS</t>
  </si>
  <si>
    <t>MATÉRIA COLETÁVEL</t>
  </si>
  <si>
    <t>IMPOSTOS SOBRE LUCROS</t>
  </si>
  <si>
    <t>RESULTADO LÍQUIDO</t>
  </si>
  <si>
    <t>DEPRECIAÇÕES DO EXERCÍCIO</t>
  </si>
  <si>
    <t>CASH-FLOW DE EXPLORAÇÃO</t>
  </si>
  <si>
    <t>TOTAL DE CUSTOS</t>
  </si>
  <si>
    <t>VALOR CONTABILÍSTICO</t>
  </si>
  <si>
    <t>TAXA DE AMORTIZAÇÃO DO ATIVO</t>
  </si>
  <si>
    <t>INVESTIMENTO EM ATIVO FIXO</t>
  </si>
  <si>
    <t>CASH-FLOW DE INVESTIMENTOS E V.R.</t>
  </si>
  <si>
    <t>CASH-FLOW GLOBAL</t>
  </si>
  <si>
    <t>TAXA DE ATUALIZAÇÃO</t>
  </si>
  <si>
    <t>CASH-FLOW ATUALIZADO</t>
  </si>
  <si>
    <t>PROJETO ECONOMICAMENTE VIÁVEL</t>
  </si>
  <si>
    <t>VAL &gt; 0</t>
  </si>
  <si>
    <t>TIR &gt; 0</t>
  </si>
  <si>
    <t>ANO 7</t>
  </si>
  <si>
    <t>ANO 8</t>
  </si>
  <si>
    <t>VAL Calculado pelo Excel</t>
  </si>
  <si>
    <t>TMR</t>
  </si>
  <si>
    <t>CUSTOS</t>
  </si>
  <si>
    <t>CASH-FLOW GLOBAL (ACUMULADO)</t>
  </si>
  <si>
    <t xml:space="preserve">PRI </t>
  </si>
  <si>
    <t>PRI (ATUALIZADO)</t>
  </si>
  <si>
    <t>CASH-FLOW GLOBAL ATUALIZ E ACUMULADO</t>
  </si>
  <si>
    <t>Média</t>
  </si>
  <si>
    <t>Numero encomendas medio</t>
  </si>
  <si>
    <t>Valor médio por encomendas</t>
  </si>
  <si>
    <t>Previsão de Vendas</t>
  </si>
  <si>
    <t>Previsão de Custos com Pessoal (Vencimentos)</t>
  </si>
  <si>
    <t xml:space="preserve">Previsão de Custos  </t>
  </si>
  <si>
    <t>Numero de Encomendas  Diárias (média)</t>
  </si>
  <si>
    <t>Ano 0</t>
  </si>
  <si>
    <t>Taxa de Crescimento de Vendas ao Ano</t>
  </si>
  <si>
    <t>Ano 1</t>
  </si>
  <si>
    <t>Ano 2</t>
  </si>
  <si>
    <t>Ano 3</t>
  </si>
  <si>
    <t>Ano 4</t>
  </si>
  <si>
    <t>Ano 5</t>
  </si>
  <si>
    <t>Ano 6</t>
  </si>
  <si>
    <t>Ano 7</t>
  </si>
  <si>
    <t>Ano 8</t>
  </si>
  <si>
    <t>x</t>
  </si>
  <si>
    <t>Valor médio por encomenda</t>
  </si>
  <si>
    <t>Taxa Crescimento do Valor médio por Encomenda</t>
  </si>
  <si>
    <t>Média da Margem de Lucro por encomenda</t>
  </si>
  <si>
    <t>Despesas Mesais Fixas (Renda + Internet + Luz)</t>
  </si>
  <si>
    <t>Outras despesas Mensais</t>
  </si>
  <si>
    <t>Custos por Encomenda</t>
  </si>
  <si>
    <t>Coluna1</t>
  </si>
  <si>
    <t>Total Despesa Encomendas Ano</t>
  </si>
  <si>
    <t>Numero de Funcionários</t>
  </si>
  <si>
    <t>Aumento anual Vencimentos</t>
  </si>
  <si>
    <t xml:space="preserve">Custo total com vencimento (valor mês) </t>
  </si>
  <si>
    <t>Total Despesas Fixas + Outras + Vencimento Ano</t>
  </si>
  <si>
    <t>Total de Vendas dos Produtos</t>
  </si>
  <si>
    <t>Total de despesa com as Encomendas</t>
  </si>
  <si>
    <t>Investimento Inicial para preparação do projeto</t>
  </si>
  <si>
    <t>CALCULO SIMPLES</t>
  </si>
  <si>
    <t>Pergunta</t>
  </si>
  <si>
    <t>Resposta</t>
  </si>
  <si>
    <t>CALCULO + Avançado e Pormenorizado</t>
  </si>
  <si>
    <t>Investimento Inicial para preparação do projeto? (ANO Zero)</t>
  </si>
  <si>
    <t>Numero de Encomendas  Diárias (média)?</t>
  </si>
  <si>
    <t>Valor médio por encomenda?</t>
  </si>
  <si>
    <t>Margem de Lucro?</t>
  </si>
  <si>
    <t>Vencimento Bruto Mensal</t>
  </si>
  <si>
    <t>RESULTADO</t>
  </si>
  <si>
    <t>Taxa Interna de Retorno</t>
  </si>
  <si>
    <t>Valor Atualizado Líquido</t>
  </si>
  <si>
    <t>Taxa de Amortização do ativo</t>
  </si>
  <si>
    <t>Recuperação Investimento</t>
  </si>
  <si>
    <t>Anos</t>
  </si>
  <si>
    <t>Meses</t>
  </si>
  <si>
    <t>Dias</t>
  </si>
  <si>
    <t>NOTAS:</t>
  </si>
  <si>
    <r>
      <t xml:space="preserve">O Projeto sé é Viável com </t>
    </r>
    <r>
      <rPr>
        <b/>
        <sz val="11"/>
        <color theme="1"/>
        <rFont val="Calibri"/>
        <family val="2"/>
        <scheme val="minor"/>
      </rPr>
      <t>TIR e VAL Positivos</t>
    </r>
    <r>
      <rPr>
        <sz val="11"/>
        <color theme="1"/>
        <rFont val="Calibri"/>
        <family val="2"/>
        <scheme val="minor"/>
      </rPr>
      <t>. TIR alta reduz o tempo de recuperação do investimento inicial.</t>
    </r>
  </si>
  <si>
    <t xml:space="preserve">O Investimento inicial é liquidado com os lucros anuais. VAL é o lucro em dividendos que o projeto gera ao investidor.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</si>
</sst>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#,##0.00\ &quot;€&quot;;\-#,##0.00\ &quot;€&quot;"/>
    <numFmt numFmtId="8" formatCode="#,##0.00\ &quot;€&quot;;[Red]\-#,##0.00\ &quot;€&quot;"/>
    <numFmt numFmtId="164" formatCode="_-* #,##0.00\ _€_-;\-* #,##0.00\ _€_-;_-* &quot;-&quot;??\ _€_-;_-@_-"/>
    <numFmt numFmtId="165" formatCode="#,##0.00\ _€"/>
    <numFmt numFmtId="166" formatCode="0.0%"/>
    <numFmt numFmtId="167" formatCode="#,##0\ _€"/>
    <numFmt numFmtId="168" formatCode="_-* #,##0\ _€_-;\-* #,##0\ _€_-;_-* &quot;-&quot;??\ _€_-;_-@_-"/>
    <numFmt numFmtId="169" formatCode="#,##0_ ;\-#,##0\ "/>
    <numFmt numFmtId="170" formatCode="#,##0.00\ &quot;€&quot;"/>
    <numFmt numFmtId="171" formatCode="0.0"/>
    <numFmt numFmtId="172" formatCode="#,##0\ &quot;€&quot;"/>
    <numFmt numFmtId="173" formatCode="#,##0.0\ _€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9" tint="-0.249977111117893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22"/>
      <color rgb="FF23EF19"/>
      <name val="Calibri"/>
      <family val="2"/>
      <scheme val="minor"/>
    </font>
    <font>
      <sz val="12"/>
      <color theme="8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8FFD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 applyAlignment="1">
      <alignment vertical="center"/>
    </xf>
    <xf numFmtId="164" fontId="5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6" fillId="0" borderId="0" xfId="1" applyNumberFormat="1" applyFont="1" applyBorder="1" applyAlignment="1">
      <alignment horizontal="right" vertical="center" indent="1"/>
    </xf>
    <xf numFmtId="0" fontId="7" fillId="0" borderId="0" xfId="0" applyFont="1" applyAlignment="1">
      <alignment horizontal="left" vertical="center" indent="1"/>
    </xf>
    <xf numFmtId="165" fontId="6" fillId="0" borderId="0" xfId="1" applyNumberFormat="1" applyFont="1" applyFill="1" applyBorder="1" applyAlignment="1">
      <alignment horizontal="right" vertical="center" indent="1"/>
    </xf>
    <xf numFmtId="0" fontId="3" fillId="2" borderId="5" xfId="0" applyFont="1" applyFill="1" applyBorder="1" applyAlignment="1">
      <alignment horizontal="left" vertical="center" indent="1"/>
    </xf>
    <xf numFmtId="165" fontId="3" fillId="5" borderId="5" xfId="1" applyNumberFormat="1" applyFont="1" applyFill="1" applyBorder="1" applyAlignment="1">
      <alignment horizontal="right" vertical="center" indent="1"/>
    </xf>
    <xf numFmtId="167" fontId="3" fillId="5" borderId="5" xfId="1" applyNumberFormat="1" applyFont="1" applyFill="1" applyBorder="1" applyAlignment="1">
      <alignment horizontal="right" vertical="center" indent="1"/>
    </xf>
    <xf numFmtId="165" fontId="3" fillId="2" borderId="5" xfId="1" applyNumberFormat="1" applyFont="1" applyFill="1" applyBorder="1" applyAlignment="1">
      <alignment horizontal="right" vertical="center" indent="1"/>
    </xf>
    <xf numFmtId="167" fontId="2" fillId="0" borderId="5" xfId="1" applyNumberFormat="1" applyFont="1" applyFill="1" applyBorder="1" applyAlignment="1">
      <alignment horizontal="right" vertical="center" indent="1"/>
    </xf>
    <xf numFmtId="0" fontId="2" fillId="0" borderId="0" xfId="0" applyFont="1"/>
    <xf numFmtId="0" fontId="2" fillId="3" borderId="5" xfId="0" applyFont="1" applyFill="1" applyBorder="1" applyAlignment="1">
      <alignment horizontal="left" vertical="center" indent="1"/>
    </xf>
    <xf numFmtId="166" fontId="2" fillId="3" borderId="5" xfId="0" applyNumberFormat="1" applyFont="1" applyFill="1" applyBorder="1" applyAlignment="1">
      <alignment horizontal="left" vertical="center" indent="1"/>
    </xf>
    <xf numFmtId="165" fontId="2" fillId="0" borderId="5" xfId="0" applyNumberFormat="1" applyFont="1" applyBorder="1" applyAlignment="1">
      <alignment horizontal="left" vertical="center" indent="1"/>
    </xf>
    <xf numFmtId="164" fontId="2" fillId="2" borderId="5" xfId="1" applyFont="1" applyFill="1" applyBorder="1" applyAlignment="1">
      <alignment horizontal="right" vertical="center" indent="1"/>
    </xf>
    <xf numFmtId="167" fontId="2" fillId="3" borderId="5" xfId="0" applyNumberFormat="1" applyFont="1" applyFill="1" applyBorder="1" applyAlignment="1">
      <alignment horizontal="right" vertical="center" indent="1"/>
    </xf>
    <xf numFmtId="165" fontId="3" fillId="4" borderId="5" xfId="1" applyNumberFormat="1" applyFont="1" applyFill="1" applyBorder="1" applyAlignment="1">
      <alignment horizontal="right" vertical="center" indent="1"/>
    </xf>
    <xf numFmtId="167" fontId="3" fillId="4" borderId="5" xfId="1" applyNumberFormat="1" applyFont="1" applyFill="1" applyBorder="1" applyAlignment="1">
      <alignment horizontal="right" vertical="center" indent="1"/>
    </xf>
    <xf numFmtId="167" fontId="2" fillId="3" borderId="5" xfId="1" applyNumberFormat="1" applyFont="1" applyFill="1" applyBorder="1" applyAlignment="1">
      <alignment horizontal="right" vertical="center" indent="1"/>
    </xf>
    <xf numFmtId="165" fontId="3" fillId="6" borderId="5" xfId="1" applyNumberFormat="1" applyFont="1" applyFill="1" applyBorder="1" applyAlignment="1">
      <alignment horizontal="right" vertical="center" indent="1"/>
    </xf>
    <xf numFmtId="167" fontId="3" fillId="6" borderId="5" xfId="1" applyNumberFormat="1" applyFont="1" applyFill="1" applyBorder="1" applyAlignment="1">
      <alignment horizontal="right" vertical="center" indent="1"/>
    </xf>
    <xf numFmtId="164" fontId="3" fillId="0" borderId="0" xfId="1" applyFont="1" applyFill="1" applyBorder="1" applyAlignment="1">
      <alignment vertical="center"/>
    </xf>
    <xf numFmtId="165" fontId="2" fillId="0" borderId="5" xfId="1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165" fontId="2" fillId="2" borderId="5" xfId="1" applyNumberFormat="1" applyFont="1" applyFill="1" applyBorder="1" applyAlignment="1">
      <alignment horizontal="right" vertical="center" indent="1"/>
    </xf>
    <xf numFmtId="167" fontId="2" fillId="2" borderId="5" xfId="1" applyNumberFormat="1" applyFont="1" applyFill="1" applyBorder="1" applyAlignment="1">
      <alignment horizontal="right" vertical="center" indent="1"/>
    </xf>
    <xf numFmtId="165" fontId="2" fillId="0" borderId="6" xfId="1" applyNumberFormat="1" applyFont="1" applyFill="1" applyBorder="1" applyAlignment="1">
      <alignment horizontal="right" vertical="center" indent="1"/>
    </xf>
    <xf numFmtId="167" fontId="2" fillId="0" borderId="5" xfId="1" applyNumberFormat="1" applyFont="1" applyBorder="1" applyAlignment="1">
      <alignment horizontal="right" vertical="center" indent="1"/>
    </xf>
    <xf numFmtId="167" fontId="2" fillId="5" borderId="5" xfId="1" applyNumberFormat="1" applyFont="1" applyFill="1" applyBorder="1" applyAlignment="1">
      <alignment horizontal="right" vertical="center" indent="1"/>
    </xf>
    <xf numFmtId="167" fontId="2" fillId="0" borderId="0" xfId="1" applyNumberFormat="1" applyFont="1" applyBorder="1" applyAlignment="1">
      <alignment horizontal="right" vertical="center" indent="1"/>
    </xf>
    <xf numFmtId="10" fontId="2" fillId="2" borderId="5" xfId="2" applyNumberFormat="1" applyFont="1" applyFill="1" applyBorder="1" applyAlignment="1">
      <alignment horizontal="right" vertical="center" indent="1"/>
    </xf>
    <xf numFmtId="165" fontId="2" fillId="0" borderId="0" xfId="1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168" fontId="2" fillId="2" borderId="5" xfId="1" applyNumberFormat="1" applyFont="1" applyFill="1" applyBorder="1" applyAlignment="1">
      <alignment horizontal="right" vertical="center" indent="1"/>
    </xf>
    <xf numFmtId="168" fontId="2" fillId="0" borderId="5" xfId="1" applyNumberFormat="1" applyFont="1" applyBorder="1" applyAlignment="1">
      <alignment horizontal="right" vertical="center" indent="1"/>
    </xf>
    <xf numFmtId="168" fontId="2" fillId="4" borderId="5" xfId="1" applyNumberFormat="1" applyFont="1" applyFill="1" applyBorder="1" applyAlignment="1">
      <alignment horizontal="right" vertical="center" indent="1"/>
    </xf>
    <xf numFmtId="0" fontId="3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7" fontId="8" fillId="3" borderId="5" xfId="0" applyNumberFormat="1" applyFont="1" applyFill="1" applyBorder="1" applyAlignment="1">
      <alignment horizontal="right" vertical="center" indent="1"/>
    </xf>
    <xf numFmtId="0" fontId="8" fillId="3" borderId="5" xfId="0" applyFont="1" applyFill="1" applyBorder="1" applyAlignment="1">
      <alignment horizontal="right" vertical="center" indent="1"/>
    </xf>
    <xf numFmtId="166" fontId="8" fillId="3" borderId="5" xfId="0" applyNumberFormat="1" applyFont="1" applyFill="1" applyBorder="1" applyAlignment="1">
      <alignment horizontal="right" vertical="center" indent="1"/>
    </xf>
    <xf numFmtId="0" fontId="4" fillId="7" borderId="1" xfId="0" applyFont="1" applyFill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167" fontId="2" fillId="0" borderId="5" xfId="0" applyNumberFormat="1" applyFont="1" applyBorder="1" applyAlignment="1">
      <alignment horizontal="right" vertical="center" indent="1"/>
    </xf>
    <xf numFmtId="167" fontId="2" fillId="0" borderId="0" xfId="0" applyNumberFormat="1" applyFont="1" applyAlignment="1">
      <alignment vertical="center"/>
    </xf>
    <xf numFmtId="8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167" fontId="2" fillId="8" borderId="5" xfId="1" applyNumberFormat="1" applyFont="1" applyFill="1" applyBorder="1" applyAlignment="1">
      <alignment horizontal="right" vertical="center" indent="1"/>
    </xf>
    <xf numFmtId="10" fontId="2" fillId="2" borderId="11" xfId="2" applyNumberFormat="1" applyFont="1" applyFill="1" applyBorder="1" applyAlignment="1">
      <alignment horizontal="right" vertical="center" indent="1"/>
    </xf>
    <xf numFmtId="167" fontId="2" fillId="8" borderId="10" xfId="1" applyNumberFormat="1" applyFont="1" applyFill="1" applyBorder="1" applyAlignment="1">
      <alignment horizontal="right" vertical="center" indent="1"/>
    </xf>
    <xf numFmtId="0" fontId="3" fillId="2" borderId="0" xfId="0" applyFont="1" applyFill="1" applyAlignment="1">
      <alignment horizontal="left" vertical="center"/>
    </xf>
    <xf numFmtId="10" fontId="2" fillId="2" borderId="0" xfId="2" applyNumberFormat="1" applyFont="1" applyFill="1" applyBorder="1" applyAlignment="1">
      <alignment horizontal="right" vertical="center" indent="1"/>
    </xf>
    <xf numFmtId="169" fontId="8" fillId="0" borderId="5" xfId="1" applyNumberFormat="1" applyFont="1" applyFill="1" applyBorder="1" applyAlignment="1">
      <alignment horizontal="right" vertical="center" indent="1"/>
    </xf>
    <xf numFmtId="8" fontId="2" fillId="9" borderId="0" xfId="0" applyNumberFormat="1" applyFont="1" applyFill="1" applyAlignment="1">
      <alignment vertical="center"/>
    </xf>
    <xf numFmtId="167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7" borderId="1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10" borderId="0" xfId="0" applyFont="1" applyFill="1" applyAlignment="1" applyProtection="1">
      <alignment vertical="center"/>
      <protection locked="0"/>
    </xf>
    <xf numFmtId="171" fontId="2" fillId="10" borderId="0" xfId="0" applyNumberFormat="1" applyFont="1" applyFill="1" applyAlignment="1" applyProtection="1">
      <alignment vertical="center"/>
      <protection locked="0"/>
    </xf>
    <xf numFmtId="171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73" fontId="0" fillId="0" borderId="0" xfId="0" applyNumberFormat="1" applyAlignment="1">
      <alignment horizontal="center" vertical="center"/>
    </xf>
    <xf numFmtId="0" fontId="0" fillId="11" borderId="0" xfId="0" applyFill="1" applyAlignment="1">
      <alignment horizontal="center" vertical="center"/>
    </xf>
    <xf numFmtId="9" fontId="0" fillId="12" borderId="0" xfId="0" applyNumberFormat="1" applyFill="1" applyAlignment="1">
      <alignment horizontal="center" vertical="center"/>
    </xf>
    <xf numFmtId="170" fontId="0" fillId="12" borderId="0" xfId="0" applyNumberForma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9" fontId="0" fillId="11" borderId="0" xfId="0" applyNumberFormat="1" applyFill="1" applyAlignment="1">
      <alignment horizontal="center" vertical="center"/>
    </xf>
    <xf numFmtId="170" fontId="0" fillId="11" borderId="0" xfId="0" applyNumberFormat="1" applyFill="1" applyAlignment="1">
      <alignment horizontal="center" vertical="center"/>
    </xf>
    <xf numFmtId="165" fontId="0" fillId="11" borderId="0" xfId="0" applyNumberForma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7" fontId="0" fillId="0" borderId="0" xfId="0" applyNumberFormat="1" applyAlignment="1">
      <alignment horizontal="center" vertical="center"/>
    </xf>
    <xf numFmtId="170" fontId="14" fillId="11" borderId="0" xfId="0" applyNumberFormat="1" applyFont="1" applyFill="1" applyAlignment="1">
      <alignment horizontal="center" vertical="center"/>
    </xf>
    <xf numFmtId="0" fontId="11" fillId="13" borderId="0" xfId="0" applyFont="1" applyFill="1"/>
    <xf numFmtId="1" fontId="0" fillId="11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170" fontId="0" fillId="10" borderId="16" xfId="0" applyNumberFormat="1" applyFill="1" applyBorder="1" applyAlignment="1">
      <alignment horizontal="center" vertical="center"/>
    </xf>
    <xf numFmtId="0" fontId="12" fillId="0" borderId="16" xfId="0" applyFont="1" applyBorder="1" applyAlignment="1">
      <alignment horizontal="left" vertical="center" wrapText="1"/>
    </xf>
    <xf numFmtId="0" fontId="0" fillId="10" borderId="16" xfId="0" applyFill="1" applyBorder="1" applyAlignment="1">
      <alignment horizontal="center" vertical="center"/>
    </xf>
    <xf numFmtId="9" fontId="0" fillId="10" borderId="16" xfId="0" applyNumberFormat="1" applyFill="1" applyBorder="1" applyAlignment="1">
      <alignment horizontal="center" vertical="center"/>
    </xf>
    <xf numFmtId="1" fontId="0" fillId="10" borderId="16" xfId="0" applyNumberFormat="1" applyFill="1" applyBorder="1" applyAlignment="1">
      <alignment horizontal="center" vertical="center"/>
    </xf>
    <xf numFmtId="172" fontId="0" fillId="10" borderId="16" xfId="0" applyNumberFormat="1" applyFill="1" applyBorder="1" applyAlignment="1">
      <alignment horizontal="center" vertical="center"/>
    </xf>
    <xf numFmtId="0" fontId="15" fillId="14" borderId="0" xfId="0" applyFont="1" applyFill="1" applyAlignment="1">
      <alignment horizontal="left" vertical="center"/>
    </xf>
    <xf numFmtId="0" fontId="15" fillId="14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6" fillId="5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8" fillId="5" borderId="0" xfId="0" applyFont="1" applyFill="1" applyAlignment="1">
      <alignment vertical="center"/>
    </xf>
    <xf numFmtId="9" fontId="12" fillId="11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1" fontId="18" fillId="5" borderId="0" xfId="0" applyNumberFormat="1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19" fillId="1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0" fontId="18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170" fontId="18" fillId="5" borderId="0" xfId="0" applyNumberFormat="1" applyFont="1" applyFill="1" applyAlignment="1">
      <alignment horizontal="center" vertical="center"/>
    </xf>
    <xf numFmtId="0" fontId="17" fillId="15" borderId="0" xfId="0" applyFont="1" applyFill="1" applyAlignment="1">
      <alignment horizontal="center" vertical="center"/>
    </xf>
    <xf numFmtId="165" fontId="2" fillId="0" borderId="0" xfId="1" applyNumberFormat="1" applyFont="1" applyBorder="1" applyAlignment="1">
      <alignment horizontal="left" vertical="center"/>
    </xf>
    <xf numFmtId="0" fontId="10" fillId="7" borderId="12" xfId="0" applyFont="1" applyFill="1" applyBorder="1" applyAlignment="1">
      <alignment horizontal="left" vertical="center"/>
    </xf>
    <xf numFmtId="0" fontId="10" fillId="7" borderId="13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8" borderId="10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3" fillId="8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indent="1"/>
    </xf>
  </cellXfs>
  <cellStyles count="3">
    <cellStyle name="Normal" xfId="0" builtinId="0"/>
    <cellStyle name="Percentagem" xfId="2" builtinId="5"/>
    <cellStyle name="Vírgula" xfId="1" builtinId="3"/>
  </cellStyles>
  <dxfs count="13">
    <dxf>
      <font>
        <color rgb="FF006100"/>
      </font>
      <fill>
        <patternFill>
          <bgColor rgb="FFC6EFCE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23EF19"/>
      <color rgb="FFE8FFD1"/>
      <color rgb="FFE9FDFD"/>
      <color rgb="FFDC566C"/>
      <color rgb="FFF8DCE1"/>
      <color rgb="FFFAEBEB"/>
      <color rgb="FFF4CC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152400</xdr:rowOff>
    </xdr:from>
    <xdr:ext cx="12677775" cy="104775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E76478D-FF4D-0C6F-48C3-52CCE02AD58C}"/>
            </a:ext>
          </a:extLst>
        </xdr:cNvPr>
        <xdr:cNvSpPr txBox="1"/>
      </xdr:nvSpPr>
      <xdr:spPr>
        <a:xfrm>
          <a:off x="561975" y="152400"/>
          <a:ext cx="12677775" cy="10477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PT" sz="1800" b="1" kern="1200"/>
            <a:t>Avaliação de Projeto de Loja Online</a:t>
          </a:r>
          <a:r>
            <a:rPr lang="pt-PT" sz="1800" b="1" kern="1200" baseline="0"/>
            <a:t> </a:t>
          </a:r>
          <a:r>
            <a:rPr lang="pt-PT" sz="1800" b="1" kern="1200"/>
            <a:t>e Viabilidade.</a:t>
          </a:r>
        </a:p>
      </xdr:txBody>
    </xdr:sp>
    <xdr:clientData/>
  </xdr:oneCellAnchor>
  <xdr:twoCellAnchor editAs="oneCell">
    <xdr:from>
      <xdr:col>1</xdr:col>
      <xdr:colOff>876300</xdr:colOff>
      <xdr:row>1</xdr:row>
      <xdr:rowOff>38100</xdr:rowOff>
    </xdr:from>
    <xdr:to>
      <xdr:col>1</xdr:col>
      <xdr:colOff>1752600</xdr:colOff>
      <xdr:row>5</xdr:row>
      <xdr:rowOff>152400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F2BD7C4-F7FD-A614-D20E-ED84665F9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228600"/>
          <a:ext cx="876300" cy="8763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935B2A-B152-41EA-B344-0B89907F1253}" name="Tabela1" displayName="Tabela1" ref="B22:K45" totalsRowShown="0" headerRowDxfId="12" dataDxfId="11">
  <autoFilter ref="B22:K45" xr:uid="{B9935B2A-B152-41EA-B344-0B89907F1253}"/>
  <tableColumns count="10">
    <tableColumn id="1" xr3:uid="{6257C417-02B8-489E-9F63-998C2429CD01}" name="Coluna1" dataDxfId="10"/>
    <tableColumn id="2" xr3:uid="{5647142A-D5B5-4F2F-9FEB-1893AE9291DD}" name="Ano 0" dataDxfId="9"/>
    <tableColumn id="3" xr3:uid="{BC7C5EA3-A5B1-42CC-90BA-F20AFE10F26A}" name="Ano 1" dataDxfId="8"/>
    <tableColumn id="4" xr3:uid="{287CADEC-B9CF-4D53-A2EC-4512D75D3174}" name="Ano 2" dataDxfId="7"/>
    <tableColumn id="5" xr3:uid="{26375105-5453-4B30-944E-857F45D66574}" name="Ano 3" dataDxfId="6"/>
    <tableColumn id="6" xr3:uid="{6AF53DFF-F430-4B42-8E04-16981E64F605}" name="Ano 4" dataDxfId="5"/>
    <tableColumn id="7" xr3:uid="{D90686E5-645D-46D0-A5B3-67E621B25C13}" name="Ano 5" dataDxfId="4"/>
    <tableColumn id="8" xr3:uid="{16DE9E40-FF70-44D3-ACA3-BF7330502D8C}" name="Ano 6" dataDxfId="3"/>
    <tableColumn id="9" xr3:uid="{1FEB1BDC-F0D8-444F-982B-E7A6CA557745}" name="Ano 7" dataDxfId="2"/>
    <tableColumn id="10" xr3:uid="{1D9F1BA9-0E0A-4FFD-8E7D-11840CBE7956}" name="Ano 8" dataDxfId="1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6B22-0F98-4759-9406-D6D847D43605}">
  <dimension ref="A8:DL57"/>
  <sheetViews>
    <sheetView tabSelected="1" workbookViewId="0">
      <selection activeCell="N9" sqref="N9"/>
    </sheetView>
  </sheetViews>
  <sheetFormatPr defaultRowHeight="15" x14ac:dyDescent="0.25"/>
  <cols>
    <col min="2" max="2" width="55.7109375" customWidth="1"/>
    <col min="3" max="3" width="14.7109375" customWidth="1"/>
    <col min="4" max="9" width="14.7109375" style="65" customWidth="1"/>
    <col min="10" max="10" width="16.28515625" style="65" customWidth="1"/>
    <col min="11" max="11" width="14.7109375" style="65" customWidth="1"/>
  </cols>
  <sheetData>
    <row r="8" spans="2:116" ht="15.75" customHeight="1" x14ac:dyDescent="0.25">
      <c r="E8" s="114" t="s">
        <v>88</v>
      </c>
      <c r="F8" s="114"/>
      <c r="G8" s="114"/>
      <c r="H8" s="114"/>
      <c r="I8" s="106" t="str">
        <f>IF('Calculo Auxiliares'!D37&gt;0,"Projeto Viável","Não Viável")</f>
        <v>Projeto Viável</v>
      </c>
      <c r="J8" s="106"/>
      <c r="K8" s="106"/>
    </row>
    <row r="9" spans="2:116" ht="17.25" customHeight="1" x14ac:dyDescent="0.25">
      <c r="B9" s="100" t="s">
        <v>79</v>
      </c>
      <c r="E9" s="114"/>
      <c r="F9" s="114"/>
      <c r="G9" s="114"/>
      <c r="H9" s="114"/>
      <c r="I9" s="106"/>
      <c r="J9" s="106"/>
      <c r="K9" s="106"/>
    </row>
    <row r="10" spans="2:116" s="88" customFormat="1" ht="18" customHeight="1" x14ac:dyDescent="0.25">
      <c r="B10" s="96" t="s">
        <v>80</v>
      </c>
      <c r="C10" s="97" t="s">
        <v>81</v>
      </c>
      <c r="E10" s="114"/>
      <c r="F10" s="114"/>
      <c r="G10" s="114"/>
      <c r="H10" s="114"/>
      <c r="I10" s="106"/>
      <c r="J10" s="106"/>
      <c r="K10" s="106"/>
    </row>
    <row r="11" spans="2:116" s="88" customFormat="1" ht="18" customHeight="1" x14ac:dyDescent="0.25">
      <c r="B11" s="89" t="s">
        <v>83</v>
      </c>
      <c r="C11" s="90">
        <v>2500</v>
      </c>
      <c r="E11" s="98"/>
      <c r="F11" s="98"/>
      <c r="G11" s="99"/>
      <c r="H11" s="98"/>
      <c r="I11" s="107"/>
      <c r="J11" s="107"/>
      <c r="K11" s="107"/>
    </row>
    <row r="12" spans="2:116" s="88" customFormat="1" ht="18" customHeight="1" x14ac:dyDescent="0.25">
      <c r="B12" s="91" t="s">
        <v>84</v>
      </c>
      <c r="C12" s="92">
        <v>5</v>
      </c>
      <c r="E12" s="108" t="s">
        <v>89</v>
      </c>
      <c r="F12" s="108"/>
      <c r="G12" s="108"/>
      <c r="H12" s="108"/>
      <c r="I12" s="108" t="s">
        <v>92</v>
      </c>
      <c r="J12" s="108"/>
      <c r="K12" s="108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2:116" s="88" customFormat="1" ht="18" customHeight="1" x14ac:dyDescent="0.25">
      <c r="B13" s="89" t="s">
        <v>85</v>
      </c>
      <c r="C13" s="90">
        <v>50</v>
      </c>
      <c r="E13" s="111">
        <f>'Calculo Auxiliares'!D37</f>
        <v>1.0903427613924959</v>
      </c>
      <c r="F13" s="112"/>
      <c r="G13" s="112"/>
      <c r="H13" s="112"/>
      <c r="I13" s="101">
        <f>TRUNC('Calculo Auxiliares'!D38)</f>
        <v>2</v>
      </c>
      <c r="J13" s="105" t="s">
        <v>93</v>
      </c>
      <c r="K13" s="98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2:116" s="88" customFormat="1" ht="18" customHeight="1" x14ac:dyDescent="0.25">
      <c r="B14" s="89" t="s">
        <v>86</v>
      </c>
      <c r="C14" s="93">
        <v>0.25</v>
      </c>
      <c r="E14" s="108" t="s">
        <v>90</v>
      </c>
      <c r="F14" s="108"/>
      <c r="G14" s="108"/>
      <c r="H14" s="108"/>
      <c r="I14" s="101">
        <f>TRUNC((MOD('Calculo Auxiliares'!D38,1))*12)</f>
        <v>7</v>
      </c>
      <c r="J14" s="105" t="s">
        <v>94</v>
      </c>
      <c r="K14" s="98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2:116" s="88" customFormat="1" ht="18" customHeight="1" x14ac:dyDescent="0.25">
      <c r="B15" s="89" t="s">
        <v>72</v>
      </c>
      <c r="C15" s="94">
        <v>1</v>
      </c>
      <c r="E15" s="113">
        <f>'Calculo Auxiliares'!D36</f>
        <v>53239.447380909594</v>
      </c>
      <c r="F15" s="113"/>
      <c r="G15" s="113"/>
      <c r="H15" s="113"/>
      <c r="I15" s="104">
        <f>'Calculo Auxiliares'!F38</f>
        <v>15.097371900110623</v>
      </c>
      <c r="J15" s="105" t="s">
        <v>95</v>
      </c>
      <c r="K15" s="9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2:116" s="88" customFormat="1" ht="18" customHeight="1" x14ac:dyDescent="0.25">
      <c r="B16" s="89" t="s">
        <v>87</v>
      </c>
      <c r="C16" s="95">
        <v>1100</v>
      </c>
      <c r="E16" s="98"/>
      <c r="F16" s="98"/>
      <c r="G16" s="98"/>
      <c r="H16" s="98"/>
      <c r="I16" s="98"/>
      <c r="J16" s="98"/>
      <c r="K16" s="98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x14ac:dyDescent="0.25">
      <c r="D17"/>
      <c r="E17" s="109" t="s">
        <v>96</v>
      </c>
      <c r="F17" s="109"/>
      <c r="G17" s="109"/>
      <c r="H17" s="109"/>
      <c r="I17" s="109"/>
      <c r="J17" s="109"/>
      <c r="K17" s="109"/>
    </row>
    <row r="18" spans="1:116" ht="18" customHeight="1" x14ac:dyDescent="0.25">
      <c r="D18"/>
      <c r="E18" s="110" t="s">
        <v>97</v>
      </c>
      <c r="F18" s="110"/>
      <c r="G18" s="110"/>
      <c r="H18" s="110"/>
      <c r="I18" s="110"/>
      <c r="J18" s="110"/>
      <c r="K18" s="110"/>
    </row>
    <row r="19" spans="1:116" x14ac:dyDescent="0.25">
      <c r="E19" s="110" t="s">
        <v>98</v>
      </c>
      <c r="F19" s="110"/>
      <c r="G19" s="110"/>
      <c r="H19" s="110"/>
      <c r="I19" s="110"/>
      <c r="J19" s="110"/>
      <c r="K19" s="110"/>
    </row>
    <row r="20" spans="1:116" x14ac:dyDescent="0.25">
      <c r="B20" s="86" t="s">
        <v>82</v>
      </c>
      <c r="C20" s="65"/>
    </row>
    <row r="21" spans="1:116" ht="5.25" customHeight="1" x14ac:dyDescent="0.25">
      <c r="D21"/>
      <c r="E21"/>
      <c r="F21"/>
      <c r="G21"/>
      <c r="H21"/>
      <c r="I21"/>
      <c r="J21"/>
      <c r="K21"/>
    </row>
    <row r="22" spans="1:116" ht="17.25" customHeight="1" x14ac:dyDescent="0.25">
      <c r="B22" s="67" t="s">
        <v>70</v>
      </c>
      <c r="C22" s="68" t="s">
        <v>53</v>
      </c>
      <c r="D22" s="68" t="s">
        <v>55</v>
      </c>
      <c r="E22" s="68" t="s">
        <v>56</v>
      </c>
      <c r="F22" s="68" t="s">
        <v>57</v>
      </c>
      <c r="G22" s="68" t="s">
        <v>58</v>
      </c>
      <c r="H22" s="68" t="s">
        <v>59</v>
      </c>
      <c r="I22" s="68" t="s">
        <v>60</v>
      </c>
      <c r="J22" s="68" t="s">
        <v>61</v>
      </c>
      <c r="K22" s="68" t="s">
        <v>62</v>
      </c>
    </row>
    <row r="23" spans="1:116" ht="17.25" customHeight="1" x14ac:dyDescent="0.25">
      <c r="B23" s="69" t="s">
        <v>78</v>
      </c>
      <c r="C23" s="85">
        <f>C11</f>
        <v>2500</v>
      </c>
      <c r="D23" s="68"/>
      <c r="E23" s="68"/>
      <c r="F23" s="68"/>
      <c r="G23" s="68"/>
      <c r="H23" s="68"/>
      <c r="I23" s="68"/>
      <c r="J23" s="68"/>
      <c r="K23" s="68"/>
    </row>
    <row r="24" spans="1:116" s="8" customFormat="1" ht="17.25" customHeight="1" x14ac:dyDescent="0.25">
      <c r="A24"/>
      <c r="B24" s="103" t="s">
        <v>91</v>
      </c>
      <c r="C24" s="102">
        <v>0.1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 ht="17.2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</row>
    <row r="26" spans="1:116" ht="17.25" customHeight="1" x14ac:dyDescent="0.25">
      <c r="B26" s="69" t="s">
        <v>49</v>
      </c>
      <c r="C26" s="70"/>
      <c r="D26" s="70"/>
      <c r="E26" s="70"/>
      <c r="F26" s="70"/>
      <c r="G26" s="70"/>
      <c r="H26" s="70"/>
      <c r="I26" s="70"/>
      <c r="J26" s="70"/>
      <c r="K26" s="70"/>
    </row>
    <row r="27" spans="1:116" ht="17.25" customHeight="1" x14ac:dyDescent="0.25">
      <c r="B27" s="71" t="s">
        <v>52</v>
      </c>
      <c r="C27" s="65" t="s">
        <v>63</v>
      </c>
      <c r="D27" s="76">
        <f>C12</f>
        <v>5</v>
      </c>
      <c r="E27" s="72">
        <f>D27*(1+E28)</f>
        <v>5.4</v>
      </c>
      <c r="F27" s="72">
        <f t="shared" ref="F27:K27" si="0">E27*(1+F28)</f>
        <v>5.8320000000000007</v>
      </c>
      <c r="G27" s="72">
        <f t="shared" si="0"/>
        <v>6.298560000000001</v>
      </c>
      <c r="H27" s="72">
        <f t="shared" si="0"/>
        <v>6.8024448000000017</v>
      </c>
      <c r="I27" s="72">
        <f t="shared" si="0"/>
        <v>7.3466403840000023</v>
      </c>
      <c r="J27" s="72">
        <f t="shared" si="0"/>
        <v>7.9343716147200034</v>
      </c>
      <c r="K27" s="72">
        <f t="shared" si="0"/>
        <v>8.5691213438976046</v>
      </c>
    </row>
    <row r="28" spans="1:116" ht="17.25" customHeight="1" x14ac:dyDescent="0.25">
      <c r="B28" t="s">
        <v>54</v>
      </c>
      <c r="C28" s="65" t="s">
        <v>63</v>
      </c>
      <c r="D28" s="73" t="s">
        <v>63</v>
      </c>
      <c r="E28" s="77">
        <v>0.08</v>
      </c>
      <c r="F28" s="77">
        <v>0.08</v>
      </c>
      <c r="G28" s="77">
        <v>0.08</v>
      </c>
      <c r="H28" s="77">
        <v>0.08</v>
      </c>
      <c r="I28" s="77">
        <v>0.08</v>
      </c>
      <c r="J28" s="77">
        <v>0.08</v>
      </c>
      <c r="K28" s="77">
        <v>0.08</v>
      </c>
    </row>
    <row r="29" spans="1:116" ht="17.25" customHeight="1" x14ac:dyDescent="0.25">
      <c r="B29" t="s">
        <v>64</v>
      </c>
      <c r="C29" s="65" t="s">
        <v>63</v>
      </c>
      <c r="D29" s="82">
        <f>C13</f>
        <v>50</v>
      </c>
      <c r="E29" s="83">
        <f>D29*(1+E30)</f>
        <v>51.5</v>
      </c>
      <c r="F29" s="83">
        <f t="shared" ref="F29:K29" si="1">E29*(1+F30)</f>
        <v>53.045000000000002</v>
      </c>
      <c r="G29" s="83">
        <f t="shared" si="1"/>
        <v>54.63635</v>
      </c>
      <c r="H29" s="83">
        <f t="shared" si="1"/>
        <v>56.275440500000002</v>
      </c>
      <c r="I29" s="83">
        <f t="shared" si="1"/>
        <v>57.963703715000001</v>
      </c>
      <c r="J29" s="83">
        <f t="shared" si="1"/>
        <v>59.702614826450002</v>
      </c>
      <c r="K29" s="83">
        <f t="shared" si="1"/>
        <v>61.493693271243501</v>
      </c>
    </row>
    <row r="30" spans="1:116" ht="17.25" customHeight="1" x14ac:dyDescent="0.25">
      <c r="B30" t="s">
        <v>65</v>
      </c>
      <c r="C30" s="65" t="s">
        <v>63</v>
      </c>
      <c r="D30" s="65" t="s">
        <v>63</v>
      </c>
      <c r="E30" s="77">
        <v>0.03</v>
      </c>
      <c r="F30" s="77">
        <v>0.03</v>
      </c>
      <c r="G30" s="77">
        <v>0.03</v>
      </c>
      <c r="H30" s="77">
        <v>0.03</v>
      </c>
      <c r="I30" s="77">
        <v>0.03</v>
      </c>
      <c r="J30" s="77">
        <v>0.03</v>
      </c>
      <c r="K30" s="77">
        <v>0.03</v>
      </c>
    </row>
    <row r="31" spans="1:116" ht="17.25" customHeight="1" x14ac:dyDescent="0.25">
      <c r="C31" s="65"/>
    </row>
    <row r="32" spans="1:116" ht="17.25" customHeight="1" x14ac:dyDescent="0.25">
      <c r="B32" s="69" t="s">
        <v>51</v>
      </c>
      <c r="C32" s="65"/>
    </row>
    <row r="33" spans="2:11" ht="17.25" customHeight="1" x14ac:dyDescent="0.25">
      <c r="B33" s="71" t="s">
        <v>66</v>
      </c>
      <c r="C33" s="65" t="s">
        <v>63</v>
      </c>
      <c r="D33" s="80">
        <f>C14</f>
        <v>0.25</v>
      </c>
      <c r="E33" s="73">
        <f>Tabela1[[#This Row],[Ano 1]]</f>
        <v>0.25</v>
      </c>
      <c r="F33" s="73">
        <f>Tabela1[[#This Row],[Ano 2]]</f>
        <v>0.25</v>
      </c>
      <c r="G33" s="73">
        <f>Tabela1[[#This Row],[Ano 3]]</f>
        <v>0.25</v>
      </c>
      <c r="H33" s="73">
        <f>Tabela1[[#This Row],[Ano 4]]</f>
        <v>0.25</v>
      </c>
      <c r="I33" s="73">
        <f>Tabela1[[#This Row],[Ano 5]]</f>
        <v>0.25</v>
      </c>
      <c r="J33" s="73">
        <f>Tabela1[[#This Row],[Ano 6]]</f>
        <v>0.25</v>
      </c>
      <c r="K33" s="73">
        <f>Tabela1[[#This Row],[Ano 7]]</f>
        <v>0.25</v>
      </c>
    </row>
    <row r="34" spans="2:11" ht="17.25" customHeight="1" x14ac:dyDescent="0.25">
      <c r="B34" s="71" t="s">
        <v>67</v>
      </c>
      <c r="C34" s="65"/>
      <c r="D34" s="78">
        <v>500</v>
      </c>
      <c r="E34" s="78">
        <f>Tabela1[[#This Row],[Ano 1]]</f>
        <v>500</v>
      </c>
      <c r="F34" s="78">
        <f>Tabela1[[#This Row],[Ano 2]]</f>
        <v>500</v>
      </c>
      <c r="G34" s="78">
        <f>Tabela1[[#This Row],[Ano 3]]</f>
        <v>500</v>
      </c>
      <c r="H34" s="78">
        <f>Tabela1[[#This Row],[Ano 4]]</f>
        <v>500</v>
      </c>
      <c r="I34" s="78">
        <f>Tabela1[[#This Row],[Ano 5]]</f>
        <v>500</v>
      </c>
      <c r="J34" s="78">
        <f>Tabela1[[#This Row],[Ano 6]]</f>
        <v>500</v>
      </c>
      <c r="K34" s="78">
        <f>Tabela1[[#This Row],[Ano 7]]</f>
        <v>500</v>
      </c>
    </row>
    <row r="35" spans="2:11" ht="17.25" customHeight="1" x14ac:dyDescent="0.25">
      <c r="B35" s="71" t="s">
        <v>68</v>
      </c>
      <c r="C35" s="65"/>
      <c r="D35" s="78">
        <v>200</v>
      </c>
      <c r="E35" s="78">
        <f>Tabela1[[#This Row],[Ano 1]]</f>
        <v>200</v>
      </c>
      <c r="F35" s="78">
        <f>Tabela1[[#This Row],[Ano 2]]</f>
        <v>200</v>
      </c>
      <c r="G35" s="78">
        <f>Tabela1[[#This Row],[Ano 3]]</f>
        <v>200</v>
      </c>
      <c r="H35" s="78">
        <f>Tabela1[[#This Row],[Ano 4]]</f>
        <v>200</v>
      </c>
      <c r="I35" s="78">
        <f>Tabela1[[#This Row],[Ano 5]]</f>
        <v>200</v>
      </c>
      <c r="J35" s="78">
        <f>Tabela1[[#This Row],[Ano 6]]</f>
        <v>200</v>
      </c>
      <c r="K35" s="78">
        <f>Tabela1[[#This Row],[Ano 7]]</f>
        <v>200</v>
      </c>
    </row>
    <row r="36" spans="2:11" ht="17.25" customHeight="1" x14ac:dyDescent="0.25">
      <c r="C36" s="65"/>
      <c r="D36" s="75"/>
      <c r="E36" s="75"/>
      <c r="F36" s="75"/>
      <c r="G36" s="75"/>
      <c r="H36" s="75"/>
      <c r="I36" s="75"/>
      <c r="J36" s="75"/>
      <c r="K36" s="75"/>
    </row>
    <row r="37" spans="2:11" ht="17.25" customHeight="1" x14ac:dyDescent="0.25">
      <c r="B37" s="69" t="s">
        <v>50</v>
      </c>
      <c r="C37" s="65"/>
    </row>
    <row r="38" spans="2:11" ht="17.25" customHeight="1" x14ac:dyDescent="0.25">
      <c r="B38" s="69" t="s">
        <v>72</v>
      </c>
      <c r="C38" s="65"/>
      <c r="D38" s="87">
        <f>C15</f>
        <v>1</v>
      </c>
      <c r="E38" s="79">
        <f>Tabela1[[#This Row],[Ano 1]]</f>
        <v>1</v>
      </c>
      <c r="F38" s="79">
        <f>Tabela1[[#This Row],[Ano 2]]</f>
        <v>1</v>
      </c>
      <c r="G38" s="79">
        <f>Tabela1[[#This Row],[Ano 3]]</f>
        <v>1</v>
      </c>
      <c r="H38" s="79">
        <f>Tabela1[[#This Row],[Ano 4]]</f>
        <v>1</v>
      </c>
      <c r="I38" s="79">
        <f>Tabela1[[#This Row],[Ano 5]]</f>
        <v>1</v>
      </c>
      <c r="J38" s="79">
        <f>Tabela1[[#This Row],[Ano 6]]</f>
        <v>1</v>
      </c>
      <c r="K38" s="79">
        <f>Tabela1[[#This Row],[Ano 7]]</f>
        <v>1</v>
      </c>
    </row>
    <row r="39" spans="2:11" ht="17.25" customHeight="1" x14ac:dyDescent="0.25">
      <c r="B39" t="s">
        <v>74</v>
      </c>
      <c r="C39" s="65"/>
      <c r="D39" s="81">
        <f>C16</f>
        <v>1100</v>
      </c>
      <c r="E39" s="74">
        <f>Tabela1[[#This Row],[Ano 1]]*(1+E40)</f>
        <v>1133</v>
      </c>
      <c r="F39" s="74">
        <f>Tabela1[[#This Row],[Ano 2]]*(1+F40)</f>
        <v>1166.99</v>
      </c>
      <c r="G39" s="74">
        <f>Tabela1[[#This Row],[Ano 3]]*(1+G40)</f>
        <v>1201.9997000000001</v>
      </c>
      <c r="H39" s="74">
        <f>Tabela1[[#This Row],[Ano 4]]*(1+H40)</f>
        <v>1238.0596910000002</v>
      </c>
      <c r="I39" s="74">
        <f>Tabela1[[#This Row],[Ano 5]]*(1+I40)</f>
        <v>1275.2014817300003</v>
      </c>
      <c r="J39" s="74">
        <f>Tabela1[[#This Row],[Ano 6]]*(1+J40)</f>
        <v>1313.4575261819004</v>
      </c>
      <c r="K39" s="74">
        <f>Tabela1[[#This Row],[Ano 7]]*(1+K40)</f>
        <v>1352.8612519673575</v>
      </c>
    </row>
    <row r="40" spans="2:11" ht="17.25" customHeight="1" x14ac:dyDescent="0.25">
      <c r="B40" t="s">
        <v>73</v>
      </c>
      <c r="C40" s="65"/>
      <c r="E40" s="77">
        <v>0.03</v>
      </c>
      <c r="F40" s="77">
        <f>Tabela1[[#This Row],[Ano 2]]</f>
        <v>0.03</v>
      </c>
      <c r="G40" s="77">
        <f>Tabela1[[#This Row],[Ano 3]]</f>
        <v>0.03</v>
      </c>
      <c r="H40" s="77">
        <f>Tabela1[[#This Row],[Ano 4]]</f>
        <v>0.03</v>
      </c>
      <c r="I40" s="77">
        <f>Tabela1[[#This Row],[Ano 5]]</f>
        <v>0.03</v>
      </c>
      <c r="J40" s="77">
        <f>Tabela1[[#This Row],[Ano 6]]</f>
        <v>0.03</v>
      </c>
      <c r="K40" s="77">
        <f>Tabela1[[#This Row],[Ano 7]]</f>
        <v>0.03</v>
      </c>
    </row>
    <row r="41" spans="2:11" ht="17.25" customHeight="1" x14ac:dyDescent="0.25">
      <c r="C41" s="65"/>
    </row>
    <row r="42" spans="2:11" ht="17.25" customHeight="1" x14ac:dyDescent="0.25">
      <c r="B42" s="69" t="s">
        <v>76</v>
      </c>
      <c r="C42" s="65"/>
      <c r="D42" s="84">
        <f>D27*D29*365</f>
        <v>91250</v>
      </c>
      <c r="E42" s="84">
        <f t="shared" ref="E42:K42" si="2">E27*E29*365</f>
        <v>101506.50000000001</v>
      </c>
      <c r="F42" s="84">
        <f t="shared" si="2"/>
        <v>112915.83060000002</v>
      </c>
      <c r="G42" s="84">
        <f t="shared" si="2"/>
        <v>125607.56995944002</v>
      </c>
      <c r="H42" s="84">
        <f t="shared" si="2"/>
        <v>139725.86082288111</v>
      </c>
      <c r="I42" s="84">
        <f t="shared" si="2"/>
        <v>155431.04757937294</v>
      </c>
      <c r="J42" s="84">
        <f t="shared" si="2"/>
        <v>172901.49732729449</v>
      </c>
      <c r="K42" s="84">
        <f t="shared" si="2"/>
        <v>192335.62562688239</v>
      </c>
    </row>
    <row r="43" spans="2:11" ht="17.25" customHeight="1" x14ac:dyDescent="0.25">
      <c r="B43" s="69" t="s">
        <v>77</v>
      </c>
      <c r="C43" s="65"/>
      <c r="D43" s="84">
        <f>D29*D27*(1-D33)*365</f>
        <v>68437.5</v>
      </c>
      <c r="E43" s="84">
        <f t="shared" ref="E43:K43" si="3">E29*E27*(1-E33)*365</f>
        <v>76129.875</v>
      </c>
      <c r="F43" s="84">
        <f t="shared" si="3"/>
        <v>84686.872950000019</v>
      </c>
      <c r="G43" s="84">
        <f t="shared" si="3"/>
        <v>94205.677469580027</v>
      </c>
      <c r="H43" s="84">
        <f t="shared" si="3"/>
        <v>104794.39561716083</v>
      </c>
      <c r="I43" s="84">
        <f t="shared" si="3"/>
        <v>116573.28568452971</v>
      </c>
      <c r="J43" s="84">
        <f t="shared" si="3"/>
        <v>129676.12299547085</v>
      </c>
      <c r="K43" s="84">
        <f t="shared" si="3"/>
        <v>144251.71922016179</v>
      </c>
    </row>
    <row r="44" spans="2:11" ht="17.25" customHeight="1" x14ac:dyDescent="0.25">
      <c r="B44" s="69" t="s">
        <v>75</v>
      </c>
      <c r="C44" s="65"/>
      <c r="D44" s="74">
        <f>D34*12+D35*12+D39*D38*12</f>
        <v>21600</v>
      </c>
      <c r="E44" s="74">
        <f t="shared" ref="E44:K44" si="4">E34*12+E35*12+E39*E38*12</f>
        <v>21996</v>
      </c>
      <c r="F44" s="74">
        <f t="shared" si="4"/>
        <v>22403.88</v>
      </c>
      <c r="G44" s="74">
        <f t="shared" si="4"/>
        <v>22823.9964</v>
      </c>
      <c r="H44" s="74">
        <f t="shared" si="4"/>
        <v>23256.716292000001</v>
      </c>
      <c r="I44" s="74">
        <f t="shared" si="4"/>
        <v>23702.417780760003</v>
      </c>
      <c r="J44" s="74">
        <f t="shared" si="4"/>
        <v>24161.490314182804</v>
      </c>
      <c r="K44" s="74">
        <f t="shared" si="4"/>
        <v>24634.335023608292</v>
      </c>
    </row>
    <row r="45" spans="2:11" ht="17.25" customHeight="1" x14ac:dyDescent="0.25">
      <c r="B45" s="69"/>
      <c r="C45" s="65"/>
    </row>
    <row r="46" spans="2:11" x14ac:dyDescent="0.25">
      <c r="C46" s="65"/>
    </row>
    <row r="47" spans="2:11" x14ac:dyDescent="0.25">
      <c r="B47" s="69"/>
      <c r="C47" s="65"/>
    </row>
    <row r="48" spans="2:11" x14ac:dyDescent="0.25">
      <c r="C48" s="65"/>
    </row>
    <row r="49" spans="3:3" x14ac:dyDescent="0.25">
      <c r="C49" s="65"/>
    </row>
    <row r="50" spans="3:3" x14ac:dyDescent="0.25">
      <c r="C50" s="65"/>
    </row>
    <row r="51" spans="3:3" x14ac:dyDescent="0.25">
      <c r="C51" s="65"/>
    </row>
    <row r="52" spans="3:3" x14ac:dyDescent="0.25">
      <c r="C52" s="65"/>
    </row>
    <row r="53" spans="3:3" x14ac:dyDescent="0.25">
      <c r="C53" s="65"/>
    </row>
    <row r="54" spans="3:3" x14ac:dyDescent="0.25">
      <c r="C54" s="65"/>
    </row>
    <row r="55" spans="3:3" x14ac:dyDescent="0.25">
      <c r="C55" s="65"/>
    </row>
    <row r="56" spans="3:3" x14ac:dyDescent="0.25">
      <c r="C56" s="65"/>
    </row>
    <row r="57" spans="3:3" x14ac:dyDescent="0.25">
      <c r="C57" s="65"/>
    </row>
  </sheetData>
  <sheetProtection sheet="1" objects="1" scenarios="1"/>
  <protectedRanges>
    <protectedRange sqref="C11:C16 C24 E28:K28 E30:K30 D34:K35 E33:K33 D38:K38 D33 E40:K40 D39 D29 D27 C23" name="Intervalo1"/>
  </protectedRanges>
  <mergeCells count="11">
    <mergeCell ref="I8:K10"/>
    <mergeCell ref="I11:K11"/>
    <mergeCell ref="I12:K12"/>
    <mergeCell ref="E17:K17"/>
    <mergeCell ref="E19:K19"/>
    <mergeCell ref="E18:K18"/>
    <mergeCell ref="E12:H12"/>
    <mergeCell ref="E13:H13"/>
    <mergeCell ref="E14:H14"/>
    <mergeCell ref="E15:H15"/>
    <mergeCell ref="E8:H10"/>
  </mergeCells>
  <phoneticPr fontId="9" type="noConversion"/>
  <conditionalFormatting sqref="I8">
    <cfRule type="cellIs" dxfId="0" priority="1" operator="equal">
      <formula>"Projeto Viável"</formula>
    </cfRule>
  </conditionalFormatting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5BCB-8784-4224-987A-7A9CEB0B8288}">
  <sheetPr>
    <tabColor rgb="FF92D050"/>
  </sheetPr>
  <dimension ref="B1:T44"/>
  <sheetViews>
    <sheetView workbookViewId="0">
      <selection activeCell="D5" sqref="D5"/>
    </sheetView>
  </sheetViews>
  <sheetFormatPr defaultColWidth="17.7109375" defaultRowHeight="22.5" customHeight="1" x14ac:dyDescent="0.25"/>
  <cols>
    <col min="1" max="1" width="2.5703125" style="1" customWidth="1"/>
    <col min="2" max="2" width="6.7109375" style="1" customWidth="1"/>
    <col min="3" max="3" width="32.7109375" style="1" customWidth="1"/>
    <col min="4" max="4" width="13.28515625" style="1" customWidth="1"/>
    <col min="5" max="15" width="11.7109375" style="1" customWidth="1"/>
    <col min="16" max="18" width="14.7109375" style="1" customWidth="1"/>
    <col min="19" max="19" width="20.28515625" style="1" customWidth="1"/>
    <col min="20" max="20" width="26.28515625" style="1" customWidth="1"/>
    <col min="21" max="16384" width="17.7109375" style="1"/>
  </cols>
  <sheetData>
    <row r="1" spans="2:20" ht="15" customHeight="1" x14ac:dyDescent="0.2">
      <c r="C1" s="13"/>
      <c r="D1" s="13"/>
    </row>
    <row r="2" spans="2:20" ht="22.5" customHeight="1" x14ac:dyDescent="0.25">
      <c r="B2" s="118" t="s">
        <v>8</v>
      </c>
      <c r="C2" s="119"/>
      <c r="D2" s="45"/>
      <c r="E2" s="45"/>
    </row>
    <row r="3" spans="2:20" ht="22.5" customHeight="1" x14ac:dyDescent="0.25">
      <c r="B3" s="130" t="s">
        <v>13</v>
      </c>
      <c r="C3" s="130"/>
      <c r="D3" s="43">
        <v>8</v>
      </c>
      <c r="E3" s="14" t="s">
        <v>14</v>
      </c>
    </row>
    <row r="4" spans="2:20" ht="22.5" customHeight="1" x14ac:dyDescent="0.25">
      <c r="B4" s="130" t="s">
        <v>12</v>
      </c>
      <c r="C4" s="130"/>
      <c r="D4" s="44">
        <v>0.04</v>
      </c>
      <c r="E4" s="15"/>
    </row>
    <row r="5" spans="2:20" ht="22.5" customHeight="1" x14ac:dyDescent="0.25">
      <c r="B5" s="8" t="s">
        <v>28</v>
      </c>
      <c r="C5" s="8"/>
      <c r="D5" s="44">
        <f>SIMULADOR!C24</f>
        <v>0.1</v>
      </c>
      <c r="E5" s="15"/>
    </row>
    <row r="6" spans="2:20" ht="22.5" customHeight="1" x14ac:dyDescent="0.25">
      <c r="B6" s="130" t="s">
        <v>10</v>
      </c>
      <c r="C6" s="130"/>
      <c r="D6" s="56">
        <f>SIMULADOR!C23</f>
        <v>2500</v>
      </c>
      <c r="E6" s="16" t="s">
        <v>15</v>
      </c>
      <c r="P6" s="1" t="s">
        <v>47</v>
      </c>
      <c r="Q6" s="1" t="s">
        <v>48</v>
      </c>
      <c r="S6" s="1" t="s">
        <v>69</v>
      </c>
      <c r="T6" s="1" t="s">
        <v>71</v>
      </c>
    </row>
    <row r="7" spans="2:20" ht="15" customHeight="1" x14ac:dyDescent="0.2">
      <c r="B7" s="3"/>
      <c r="C7" s="13"/>
      <c r="D7" s="13"/>
      <c r="O7" s="1">
        <v>1</v>
      </c>
      <c r="P7" s="63">
        <f>SIMULADOR!D27</f>
        <v>5</v>
      </c>
      <c r="Q7" s="62">
        <f>SIMULADOR!D29</f>
        <v>50</v>
      </c>
      <c r="S7" s="1">
        <f>Q7*(1-SIMULADOR!D33)</f>
        <v>37.5</v>
      </c>
      <c r="T7" s="1">
        <f t="shared" ref="T7:T14" si="0">S7*P7*365</f>
        <v>68437.5</v>
      </c>
    </row>
    <row r="8" spans="2:20" ht="22.5" customHeight="1" x14ac:dyDescent="0.25">
      <c r="B8" s="116" t="s">
        <v>11</v>
      </c>
      <c r="C8" s="117"/>
      <c r="D8" s="46" t="s">
        <v>9</v>
      </c>
      <c r="E8" s="46" t="s">
        <v>0</v>
      </c>
      <c r="F8" s="46" t="s">
        <v>1</v>
      </c>
      <c r="G8" s="46" t="s">
        <v>2</v>
      </c>
      <c r="H8" s="46" t="s">
        <v>3</v>
      </c>
      <c r="I8" s="46" t="s">
        <v>4</v>
      </c>
      <c r="J8" s="46" t="s">
        <v>5</v>
      </c>
      <c r="K8" s="46" t="s">
        <v>37</v>
      </c>
      <c r="L8" s="46" t="s">
        <v>38</v>
      </c>
      <c r="M8" s="60" t="s">
        <v>46</v>
      </c>
      <c r="N8" s="61"/>
      <c r="O8" s="1">
        <v>2</v>
      </c>
      <c r="P8" s="64">
        <f>SIMULADOR!E27</f>
        <v>5.4</v>
      </c>
      <c r="Q8" s="66">
        <f>SIMULADOR!E29</f>
        <v>51.5</v>
      </c>
      <c r="S8" s="1">
        <f>Q8*(1-SIMULADOR!E33)</f>
        <v>38.625</v>
      </c>
      <c r="T8" s="1">
        <f t="shared" si="0"/>
        <v>76129.875</v>
      </c>
    </row>
    <row r="9" spans="2:20" ht="22.5" customHeight="1" x14ac:dyDescent="0.25">
      <c r="B9" s="120" t="s">
        <v>17</v>
      </c>
      <c r="C9" s="120"/>
      <c r="D9" s="17"/>
      <c r="E9" s="42">
        <f>P7*365*Q7</f>
        <v>91250</v>
      </c>
      <c r="F9" s="42">
        <f>P8*365*Q8</f>
        <v>101506.50000000001</v>
      </c>
      <c r="G9" s="42">
        <f>P9*365*Q9</f>
        <v>112915.83060000002</v>
      </c>
      <c r="H9" s="42">
        <f>P10*365*Q10</f>
        <v>125607.56995944004</v>
      </c>
      <c r="I9" s="42">
        <f>P11*365*Q11</f>
        <v>139725.86082288111</v>
      </c>
      <c r="J9" s="42">
        <f>P12*365*Q12</f>
        <v>155431.04757937294</v>
      </c>
      <c r="K9" s="42">
        <f>P13*365*Q13</f>
        <v>172901.49732729449</v>
      </c>
      <c r="L9" s="42">
        <f>P14*365*Q14</f>
        <v>192335.62562688242</v>
      </c>
      <c r="O9" s="1">
        <v>3</v>
      </c>
      <c r="P9" s="64">
        <f>SIMULADOR!F27</f>
        <v>5.8320000000000007</v>
      </c>
      <c r="Q9" s="66">
        <f>SIMULADOR!F29</f>
        <v>53.045000000000002</v>
      </c>
      <c r="S9" s="1">
        <f>Q9*(1-SIMULADOR!F33)</f>
        <v>39.783749999999998</v>
      </c>
      <c r="T9" s="1">
        <f t="shared" si="0"/>
        <v>84686.872950000004</v>
      </c>
    </row>
    <row r="10" spans="2:20" ht="22.5" customHeight="1" x14ac:dyDescent="0.25">
      <c r="B10" s="129" t="s">
        <v>20</v>
      </c>
      <c r="C10" s="129"/>
      <c r="D10" s="19"/>
      <c r="E10" s="20">
        <f>+E9</f>
        <v>91250</v>
      </c>
      <c r="F10" s="20">
        <f t="shared" ref="F10:L10" si="1">+F9</f>
        <v>101506.50000000001</v>
      </c>
      <c r="G10" s="20">
        <f t="shared" si="1"/>
        <v>112915.83060000002</v>
      </c>
      <c r="H10" s="20">
        <f t="shared" si="1"/>
        <v>125607.56995944004</v>
      </c>
      <c r="I10" s="20">
        <f t="shared" si="1"/>
        <v>139725.86082288111</v>
      </c>
      <c r="J10" s="20">
        <f t="shared" si="1"/>
        <v>155431.04757937294</v>
      </c>
      <c r="K10" s="20">
        <f t="shared" si="1"/>
        <v>172901.49732729449</v>
      </c>
      <c r="L10" s="20">
        <f t="shared" si="1"/>
        <v>192335.62562688242</v>
      </c>
      <c r="O10" s="1">
        <v>4</v>
      </c>
      <c r="P10" s="64">
        <f>SIMULADOR!G27</f>
        <v>6.298560000000001</v>
      </c>
      <c r="Q10" s="66">
        <f>SIMULADOR!G29</f>
        <v>54.63635</v>
      </c>
      <c r="S10" s="1">
        <f>Q10*(1-SIMULADOR!G33)</f>
        <v>40.977262500000002</v>
      </c>
      <c r="T10" s="1">
        <f t="shared" si="0"/>
        <v>94205.677469580027</v>
      </c>
    </row>
    <row r="11" spans="2:20" ht="22.5" customHeight="1" x14ac:dyDescent="0.25">
      <c r="B11" s="120" t="s">
        <v>41</v>
      </c>
      <c r="C11" s="120"/>
      <c r="D11" s="17">
        <v>0</v>
      </c>
      <c r="E11" s="47">
        <f>SIMULADOR!D43+SIMULADOR!D44</f>
        <v>90037.5</v>
      </c>
      <c r="F11" s="47">
        <f>SIMULADOR!E43+SIMULADOR!E44</f>
        <v>98125.875</v>
      </c>
      <c r="G11" s="47">
        <f>SIMULADOR!F43+SIMULADOR!F44</f>
        <v>107090.75295000002</v>
      </c>
      <c r="H11" s="47">
        <f>SIMULADOR!G43+SIMULADOR!G44</f>
        <v>117029.67386958003</v>
      </c>
      <c r="I11" s="47">
        <f>SIMULADOR!H43+SIMULADOR!H44</f>
        <v>128051.11190916083</v>
      </c>
      <c r="J11" s="47">
        <f>SIMULADOR!I43+SIMULADOR!I44</f>
        <v>140275.7034652897</v>
      </c>
      <c r="K11" s="47">
        <f>SIMULADOR!J43+SIMULADOR!J44</f>
        <v>153837.61330965365</v>
      </c>
      <c r="L11" s="47">
        <f>SIMULADOR!K43+SIMULADOR!K44</f>
        <v>168886.05424377008</v>
      </c>
      <c r="O11" s="1">
        <v>5</v>
      </c>
      <c r="P11" s="64">
        <f>SIMULADOR!H27</f>
        <v>6.8024448000000017</v>
      </c>
      <c r="Q11" s="66">
        <f>SIMULADOR!H29</f>
        <v>56.275440500000002</v>
      </c>
      <c r="S11" s="1">
        <f>Q11*(1-SIMULADOR!H33)</f>
        <v>42.206580375000001</v>
      </c>
      <c r="T11" s="1">
        <f t="shared" si="0"/>
        <v>104794.39561716083</v>
      </c>
    </row>
    <row r="12" spans="2:20" ht="22.5" customHeight="1" x14ac:dyDescent="0.25">
      <c r="B12" s="120" t="s">
        <v>18</v>
      </c>
      <c r="C12" s="120"/>
      <c r="D12" s="17">
        <v>0</v>
      </c>
      <c r="E12" s="18">
        <f>+$D$6/8</f>
        <v>312.5</v>
      </c>
      <c r="F12" s="18">
        <f t="shared" ref="F12:L12" si="2">+$D$6/8</f>
        <v>312.5</v>
      </c>
      <c r="G12" s="18">
        <f t="shared" si="2"/>
        <v>312.5</v>
      </c>
      <c r="H12" s="18">
        <f t="shared" si="2"/>
        <v>312.5</v>
      </c>
      <c r="I12" s="18">
        <f t="shared" si="2"/>
        <v>312.5</v>
      </c>
      <c r="J12" s="18">
        <f t="shared" si="2"/>
        <v>312.5</v>
      </c>
      <c r="K12" s="18">
        <f t="shared" si="2"/>
        <v>312.5</v>
      </c>
      <c r="L12" s="18">
        <f t="shared" si="2"/>
        <v>312.5</v>
      </c>
      <c r="O12" s="1">
        <v>6</v>
      </c>
      <c r="P12" s="64">
        <f>SIMULADOR!I27</f>
        <v>7.3466403840000023</v>
      </c>
      <c r="Q12" s="66">
        <f>SIMULADOR!I29</f>
        <v>57.963703715000001</v>
      </c>
      <c r="S12" s="1">
        <f>Q12*(1-SIMULADOR!I33)</f>
        <v>43.472777786249999</v>
      </c>
      <c r="T12" s="1">
        <f t="shared" si="0"/>
        <v>116573.28568452969</v>
      </c>
    </row>
    <row r="13" spans="2:20" ht="22.5" customHeight="1" x14ac:dyDescent="0.25">
      <c r="B13" s="129" t="s">
        <v>26</v>
      </c>
      <c r="C13" s="129"/>
      <c r="D13" s="19"/>
      <c r="E13" s="20">
        <f>+E11+E12</f>
        <v>90350</v>
      </c>
      <c r="F13" s="20">
        <f t="shared" ref="F13:L13" si="3">+F11+F12</f>
        <v>98438.375</v>
      </c>
      <c r="G13" s="20">
        <f t="shared" si="3"/>
        <v>107403.25295000002</v>
      </c>
      <c r="H13" s="20">
        <f t="shared" si="3"/>
        <v>117342.17386958003</v>
      </c>
      <c r="I13" s="20">
        <f t="shared" si="3"/>
        <v>128363.61190916083</v>
      </c>
      <c r="J13" s="20">
        <f t="shared" si="3"/>
        <v>140588.2034652897</v>
      </c>
      <c r="K13" s="20">
        <f t="shared" si="3"/>
        <v>154150.11330965365</v>
      </c>
      <c r="L13" s="20">
        <f t="shared" si="3"/>
        <v>169198.55424377008</v>
      </c>
      <c r="O13" s="1">
        <v>7</v>
      </c>
      <c r="P13" s="64">
        <f>SIMULADOR!J27</f>
        <v>7.9343716147200034</v>
      </c>
      <c r="Q13" s="66">
        <f>SIMULADOR!J29</f>
        <v>59.702614826450002</v>
      </c>
      <c r="S13" s="1">
        <f>Q13*(1-SIMULADOR!J33)</f>
        <v>44.776961119837502</v>
      </c>
      <c r="T13" s="1">
        <f t="shared" si="0"/>
        <v>129676.12299547087</v>
      </c>
    </row>
    <row r="14" spans="2:20" ht="22.5" customHeight="1" x14ac:dyDescent="0.25">
      <c r="B14" s="124" t="s">
        <v>19</v>
      </c>
      <c r="C14" s="124"/>
      <c r="D14" s="9"/>
      <c r="E14" s="10">
        <f>+E10-E13</f>
        <v>900</v>
      </c>
      <c r="F14" s="10">
        <f t="shared" ref="F14:L14" si="4">+F10-F13</f>
        <v>3068.1250000000146</v>
      </c>
      <c r="G14" s="10">
        <f t="shared" si="4"/>
        <v>5512.577649999992</v>
      </c>
      <c r="H14" s="10">
        <f t="shared" si="4"/>
        <v>8265.3960898600053</v>
      </c>
      <c r="I14" s="10">
        <f t="shared" si="4"/>
        <v>11362.248913720279</v>
      </c>
      <c r="J14" s="10">
        <f t="shared" si="4"/>
        <v>14842.844114083244</v>
      </c>
      <c r="K14" s="10">
        <f t="shared" si="4"/>
        <v>18751.384017640841</v>
      </c>
      <c r="L14" s="10">
        <f t="shared" si="4"/>
        <v>23137.071383112343</v>
      </c>
      <c r="O14" s="1">
        <v>8</v>
      </c>
      <c r="P14" s="64">
        <f>SIMULADOR!K27</f>
        <v>8.5691213438976046</v>
      </c>
      <c r="Q14" s="66">
        <f>SIMULADOR!K29</f>
        <v>61.493693271243501</v>
      </c>
      <c r="S14" s="1">
        <f>Q14*(1-SIMULADOR!K33)</f>
        <v>46.120269953432626</v>
      </c>
      <c r="T14" s="1">
        <f t="shared" si="0"/>
        <v>144251.71922016179</v>
      </c>
    </row>
    <row r="15" spans="2:20" ht="22.5" customHeight="1" x14ac:dyDescent="0.25">
      <c r="B15" s="120" t="s">
        <v>21</v>
      </c>
      <c r="C15" s="120"/>
      <c r="D15" s="11"/>
      <c r="E15" s="21">
        <f>IF(E14&lt;0,0,E14)</f>
        <v>900</v>
      </c>
      <c r="F15" s="21">
        <f t="shared" ref="F15:L15" si="5">IF(F14&lt;0,0,F14)</f>
        <v>3068.1250000000146</v>
      </c>
      <c r="G15" s="21">
        <f t="shared" si="5"/>
        <v>5512.577649999992</v>
      </c>
      <c r="H15" s="21">
        <f t="shared" si="5"/>
        <v>8265.3960898600053</v>
      </c>
      <c r="I15" s="21">
        <f t="shared" si="5"/>
        <v>11362.248913720279</v>
      </c>
      <c r="J15" s="21">
        <f t="shared" si="5"/>
        <v>14842.844114083244</v>
      </c>
      <c r="K15" s="21">
        <f t="shared" si="5"/>
        <v>18751.384017640841</v>
      </c>
      <c r="L15" s="21">
        <f t="shared" si="5"/>
        <v>23137.071383112343</v>
      </c>
    </row>
    <row r="16" spans="2:20" ht="22.5" customHeight="1" x14ac:dyDescent="0.25">
      <c r="B16" s="120" t="s">
        <v>22</v>
      </c>
      <c r="C16" s="120"/>
      <c r="D16" s="11"/>
      <c r="E16" s="21">
        <f>IF(E15&gt;0,E15*0.21,0)</f>
        <v>189</v>
      </c>
      <c r="F16" s="21">
        <f t="shared" ref="F16:L16" si="6">IF(F15&gt;0,F15*0.21,0)</f>
        <v>644.30625000000305</v>
      </c>
      <c r="G16" s="21">
        <f t="shared" si="6"/>
        <v>1157.6413064999983</v>
      </c>
      <c r="H16" s="21">
        <f t="shared" si="6"/>
        <v>1735.733178870601</v>
      </c>
      <c r="I16" s="21">
        <f t="shared" si="6"/>
        <v>2386.0722718812585</v>
      </c>
      <c r="J16" s="21">
        <f t="shared" si="6"/>
        <v>3116.9972639574812</v>
      </c>
      <c r="K16" s="21">
        <f t="shared" si="6"/>
        <v>3937.7906437045767</v>
      </c>
      <c r="L16" s="21">
        <f t="shared" si="6"/>
        <v>4858.7849904535915</v>
      </c>
    </row>
    <row r="17" spans="2:14" ht="22.5" customHeight="1" x14ac:dyDescent="0.25">
      <c r="B17" s="124" t="s">
        <v>23</v>
      </c>
      <c r="C17" s="124"/>
      <c r="D17" s="9"/>
      <c r="E17" s="10">
        <f>+E14-E16</f>
        <v>711</v>
      </c>
      <c r="F17" s="10">
        <f t="shared" ref="F17:L17" si="7">+F14-F16</f>
        <v>2423.8187500000113</v>
      </c>
      <c r="G17" s="10">
        <f t="shared" si="7"/>
        <v>4354.9363434999941</v>
      </c>
      <c r="H17" s="10">
        <f t="shared" si="7"/>
        <v>6529.6629109894038</v>
      </c>
      <c r="I17" s="10">
        <f t="shared" si="7"/>
        <v>8976.1766418390216</v>
      </c>
      <c r="J17" s="10">
        <f t="shared" si="7"/>
        <v>11725.846850125763</v>
      </c>
      <c r="K17" s="10">
        <f t="shared" si="7"/>
        <v>14813.593373936264</v>
      </c>
      <c r="L17" s="10">
        <f t="shared" si="7"/>
        <v>18278.286392658752</v>
      </c>
      <c r="M17" s="58">
        <f>AVERAGE(E17:L17)</f>
        <v>8476.6651578811507</v>
      </c>
    </row>
    <row r="18" spans="2:14" ht="22.5" customHeight="1" x14ac:dyDescent="0.25">
      <c r="B18" s="120" t="s">
        <v>24</v>
      </c>
      <c r="C18" s="120"/>
      <c r="D18" s="11"/>
      <c r="E18" s="12">
        <f>+E12</f>
        <v>312.5</v>
      </c>
      <c r="F18" s="12">
        <f t="shared" ref="F18:L18" si="8">+F12</f>
        <v>312.5</v>
      </c>
      <c r="G18" s="12">
        <f t="shared" si="8"/>
        <v>312.5</v>
      </c>
      <c r="H18" s="12">
        <f t="shared" si="8"/>
        <v>312.5</v>
      </c>
      <c r="I18" s="12">
        <f t="shared" si="8"/>
        <v>312.5</v>
      </c>
      <c r="J18" s="12">
        <f t="shared" si="8"/>
        <v>312.5</v>
      </c>
      <c r="K18" s="12">
        <f t="shared" si="8"/>
        <v>312.5</v>
      </c>
      <c r="L18" s="12">
        <f t="shared" si="8"/>
        <v>312.5</v>
      </c>
      <c r="M18" s="59"/>
    </row>
    <row r="19" spans="2:14" ht="22.5" customHeight="1" x14ac:dyDescent="0.25">
      <c r="B19" s="128" t="s">
        <v>25</v>
      </c>
      <c r="C19" s="128"/>
      <c r="D19" s="22"/>
      <c r="E19" s="23">
        <f>+E17+E18</f>
        <v>1023.5</v>
      </c>
      <c r="F19" s="23">
        <f t="shared" ref="F19:L19" si="9">+F17+F18</f>
        <v>2736.3187500000113</v>
      </c>
      <c r="G19" s="23">
        <f t="shared" si="9"/>
        <v>4667.4363434999941</v>
      </c>
      <c r="H19" s="23">
        <f t="shared" si="9"/>
        <v>6842.1629109894038</v>
      </c>
      <c r="I19" s="23">
        <f t="shared" si="9"/>
        <v>9288.6766418390216</v>
      </c>
      <c r="J19" s="23">
        <f t="shared" si="9"/>
        <v>12038.346850125763</v>
      </c>
      <c r="K19" s="23">
        <f t="shared" si="9"/>
        <v>15126.093373936264</v>
      </c>
      <c r="L19" s="23">
        <f t="shared" si="9"/>
        <v>18590.786392658752</v>
      </c>
      <c r="M19" s="59"/>
    </row>
    <row r="20" spans="2:14" ht="22.5" customHeight="1" x14ac:dyDescent="0.25">
      <c r="B20" s="35"/>
      <c r="C20" s="35"/>
      <c r="D20" s="24"/>
      <c r="E20" s="24"/>
      <c r="F20" s="24"/>
      <c r="G20" s="24"/>
      <c r="H20" s="24"/>
      <c r="M20" s="59"/>
    </row>
    <row r="21" spans="2:14" ht="22.5" customHeight="1" x14ac:dyDescent="0.25">
      <c r="B21" s="125"/>
      <c r="C21" s="126"/>
      <c r="D21" s="46" t="s">
        <v>9</v>
      </c>
      <c r="E21" s="46" t="s">
        <v>0</v>
      </c>
      <c r="F21" s="46" t="s">
        <v>1</v>
      </c>
      <c r="G21" s="46" t="s">
        <v>2</v>
      </c>
      <c r="H21" s="46" t="s">
        <v>3</v>
      </c>
      <c r="I21" s="46" t="s">
        <v>4</v>
      </c>
      <c r="J21" s="46" t="s">
        <v>5</v>
      </c>
      <c r="K21" s="46" t="s">
        <v>37</v>
      </c>
      <c r="L21" s="46" t="s">
        <v>38</v>
      </c>
      <c r="M21" s="59"/>
    </row>
    <row r="22" spans="2:14" ht="22.5" customHeight="1" x14ac:dyDescent="0.25">
      <c r="B22" s="120" t="s">
        <v>6</v>
      </c>
      <c r="C22" s="120"/>
      <c r="D22" s="36">
        <f>D6</f>
        <v>2500</v>
      </c>
      <c r="E22" s="37"/>
      <c r="F22" s="36"/>
      <c r="G22" s="37"/>
      <c r="H22" s="36"/>
      <c r="I22" s="37"/>
      <c r="J22" s="37"/>
      <c r="K22" s="37"/>
      <c r="L22" s="37"/>
      <c r="M22" s="59"/>
    </row>
    <row r="23" spans="2:14" ht="22.5" customHeight="1" x14ac:dyDescent="0.25">
      <c r="B23" s="120" t="s">
        <v>24</v>
      </c>
      <c r="C23" s="120"/>
      <c r="D23" s="36"/>
      <c r="E23" s="37">
        <f t="shared" ref="E23:L23" si="10">+$D$22/$D$3</f>
        <v>312.5</v>
      </c>
      <c r="F23" s="37">
        <f t="shared" si="10"/>
        <v>312.5</v>
      </c>
      <c r="G23" s="37">
        <f t="shared" si="10"/>
        <v>312.5</v>
      </c>
      <c r="H23" s="37">
        <f t="shared" si="10"/>
        <v>312.5</v>
      </c>
      <c r="I23" s="37">
        <f t="shared" si="10"/>
        <v>312.5</v>
      </c>
      <c r="J23" s="37">
        <f t="shared" si="10"/>
        <v>312.5</v>
      </c>
      <c r="K23" s="37">
        <f t="shared" si="10"/>
        <v>312.5</v>
      </c>
      <c r="L23" s="37">
        <f t="shared" si="10"/>
        <v>312.5</v>
      </c>
      <c r="M23" s="59"/>
    </row>
    <row r="24" spans="2:14" ht="22.5" customHeight="1" x14ac:dyDescent="0.25">
      <c r="B24" s="129" t="s">
        <v>27</v>
      </c>
      <c r="C24" s="129"/>
      <c r="D24" s="38">
        <f>+D22</f>
        <v>2500</v>
      </c>
      <c r="E24" s="38">
        <f>+D24+E22-E23</f>
        <v>2187.5</v>
      </c>
      <c r="F24" s="38">
        <f t="shared" ref="F24:J24" si="11">+E24-F23</f>
        <v>1875</v>
      </c>
      <c r="G24" s="38">
        <f t="shared" si="11"/>
        <v>1562.5</v>
      </c>
      <c r="H24" s="38">
        <f t="shared" si="11"/>
        <v>1250</v>
      </c>
      <c r="I24" s="38">
        <f t="shared" si="11"/>
        <v>937.5</v>
      </c>
      <c r="J24" s="38">
        <f t="shared" si="11"/>
        <v>625</v>
      </c>
      <c r="K24" s="38">
        <f t="shared" ref="K24" si="12">+J24-K23</f>
        <v>312.5</v>
      </c>
      <c r="L24" s="38">
        <f t="shared" ref="L24" si="13">+K24-L23</f>
        <v>0</v>
      </c>
      <c r="M24" s="58">
        <f>AVERAGE(D24:L24)</f>
        <v>1250</v>
      </c>
      <c r="N24" s="50"/>
    </row>
    <row r="25" spans="2:14" ht="22.5" customHeight="1" x14ac:dyDescent="0.25">
      <c r="B25" s="26"/>
      <c r="C25" s="26"/>
      <c r="D25" s="29"/>
      <c r="E25" s="29"/>
      <c r="F25" s="29"/>
      <c r="G25" s="29"/>
      <c r="H25" s="29"/>
      <c r="I25" s="29"/>
      <c r="J25" s="29"/>
      <c r="K25" s="2"/>
    </row>
    <row r="26" spans="2:14" ht="22.5" customHeight="1" x14ac:dyDescent="0.25">
      <c r="B26" s="125"/>
      <c r="C26" s="126"/>
      <c r="D26" s="46" t="s">
        <v>9</v>
      </c>
      <c r="E26" s="46" t="s">
        <v>0</v>
      </c>
      <c r="F26" s="46" t="s">
        <v>1</v>
      </c>
      <c r="G26" s="46" t="s">
        <v>2</v>
      </c>
      <c r="H26" s="46" t="s">
        <v>3</v>
      </c>
      <c r="I26" s="46" t="s">
        <v>4</v>
      </c>
      <c r="J26" s="46" t="s">
        <v>5</v>
      </c>
      <c r="K26" s="46" t="s">
        <v>37</v>
      </c>
      <c r="L26" s="46" t="s">
        <v>38</v>
      </c>
    </row>
    <row r="27" spans="2:14" ht="22.5" customHeight="1" x14ac:dyDescent="0.25">
      <c r="B27" s="120" t="s">
        <v>29</v>
      </c>
      <c r="C27" s="120"/>
      <c r="D27" s="28">
        <f t="shared" ref="D27:I27" si="14">+D22</f>
        <v>2500</v>
      </c>
      <c r="E27" s="12">
        <f t="shared" si="14"/>
        <v>0</v>
      </c>
      <c r="F27" s="12">
        <f t="shared" si="14"/>
        <v>0</v>
      </c>
      <c r="G27" s="12">
        <f t="shared" si="14"/>
        <v>0</v>
      </c>
      <c r="H27" s="12">
        <f t="shared" si="14"/>
        <v>0</v>
      </c>
      <c r="I27" s="12">
        <f t="shared" si="14"/>
        <v>0</v>
      </c>
      <c r="J27" s="12">
        <v>0</v>
      </c>
      <c r="K27" s="12">
        <v>0</v>
      </c>
      <c r="L27" s="12">
        <v>0</v>
      </c>
    </row>
    <row r="28" spans="2:14" ht="22.5" customHeight="1" x14ac:dyDescent="0.25">
      <c r="B28" s="124" t="s">
        <v>30</v>
      </c>
      <c r="C28" s="124"/>
      <c r="D28" s="31">
        <f>-D27</f>
        <v>-2500</v>
      </c>
      <c r="E28" s="31">
        <f t="shared" ref="E28:L28" si="15">-E27</f>
        <v>0</v>
      </c>
      <c r="F28" s="31">
        <f t="shared" si="15"/>
        <v>0</v>
      </c>
      <c r="G28" s="31">
        <f t="shared" si="15"/>
        <v>0</v>
      </c>
      <c r="H28" s="31">
        <f t="shared" si="15"/>
        <v>0</v>
      </c>
      <c r="I28" s="31">
        <f t="shared" si="15"/>
        <v>0</v>
      </c>
      <c r="J28" s="31">
        <f t="shared" si="15"/>
        <v>0</v>
      </c>
      <c r="K28" s="31">
        <f t="shared" si="15"/>
        <v>0</v>
      </c>
      <c r="L28" s="31">
        <f t="shared" si="15"/>
        <v>0</v>
      </c>
    </row>
    <row r="29" spans="2:14" ht="22.5" customHeight="1" x14ac:dyDescent="0.25">
      <c r="B29" s="124" t="s">
        <v>25</v>
      </c>
      <c r="C29" s="124"/>
      <c r="D29" s="31"/>
      <c r="E29" s="31">
        <f>+E19</f>
        <v>1023.5</v>
      </c>
      <c r="F29" s="31">
        <f t="shared" ref="F29:L29" si="16">+F19</f>
        <v>2736.3187500000113</v>
      </c>
      <c r="G29" s="31">
        <f t="shared" si="16"/>
        <v>4667.4363434999941</v>
      </c>
      <c r="H29" s="31">
        <f t="shared" si="16"/>
        <v>6842.1629109894038</v>
      </c>
      <c r="I29" s="31">
        <f t="shared" si="16"/>
        <v>9288.6766418390216</v>
      </c>
      <c r="J29" s="31">
        <f t="shared" si="16"/>
        <v>12038.346850125763</v>
      </c>
      <c r="K29" s="31">
        <f t="shared" si="16"/>
        <v>15126.093373936264</v>
      </c>
      <c r="L29" s="31">
        <f t="shared" si="16"/>
        <v>18590.786392658752</v>
      </c>
    </row>
    <row r="30" spans="2:14" ht="22.5" customHeight="1" x14ac:dyDescent="0.25">
      <c r="B30" s="124" t="s">
        <v>31</v>
      </c>
      <c r="C30" s="124"/>
      <c r="D30" s="31">
        <f>+D28+D29</f>
        <v>-2500</v>
      </c>
      <c r="E30" s="31">
        <f t="shared" ref="E30:J30" si="17">+E28+E29</f>
        <v>1023.5</v>
      </c>
      <c r="F30" s="31">
        <f t="shared" si="17"/>
        <v>2736.3187500000113</v>
      </c>
      <c r="G30" s="31">
        <f t="shared" si="17"/>
        <v>4667.4363434999941</v>
      </c>
      <c r="H30" s="31">
        <f t="shared" si="17"/>
        <v>6842.1629109894038</v>
      </c>
      <c r="I30" s="31">
        <f t="shared" si="17"/>
        <v>9288.6766418390216</v>
      </c>
      <c r="J30" s="31">
        <f t="shared" si="17"/>
        <v>12038.346850125763</v>
      </c>
      <c r="K30" s="31">
        <f t="shared" ref="K30:L30" si="18">+K28+K29</f>
        <v>15126.093373936264</v>
      </c>
      <c r="L30" s="31">
        <f t="shared" si="18"/>
        <v>18590.786392658752</v>
      </c>
      <c r="M30" s="57">
        <f>NPV(+D4,D30:L30)</f>
        <v>51191.776327797685</v>
      </c>
      <c r="N30" s="1" t="s">
        <v>39</v>
      </c>
    </row>
    <row r="31" spans="2:14" ht="22.5" customHeight="1" x14ac:dyDescent="0.25">
      <c r="B31" s="127" t="s">
        <v>42</v>
      </c>
      <c r="C31" s="127"/>
      <c r="D31" s="51">
        <f>+D30</f>
        <v>-2500</v>
      </c>
      <c r="E31" s="51">
        <f>+D31+E30</f>
        <v>-1476.5</v>
      </c>
      <c r="F31" s="51">
        <f t="shared" ref="F31:L31" si="19">+E31+F30</f>
        <v>1259.8187500000113</v>
      </c>
      <c r="G31" s="51">
        <f t="shared" si="19"/>
        <v>5927.2550935000054</v>
      </c>
      <c r="H31" s="51">
        <f t="shared" si="19"/>
        <v>12769.418004489409</v>
      </c>
      <c r="I31" s="51">
        <f t="shared" si="19"/>
        <v>22058.094646328431</v>
      </c>
      <c r="J31" s="51">
        <f t="shared" si="19"/>
        <v>34096.441496454194</v>
      </c>
      <c r="K31" s="51">
        <f t="shared" si="19"/>
        <v>49222.53487039046</v>
      </c>
      <c r="L31" s="51">
        <f t="shared" si="19"/>
        <v>67813.321263049205</v>
      </c>
      <c r="M31" s="49"/>
    </row>
    <row r="32" spans="2:14" ht="22.5" customHeight="1" x14ac:dyDescent="0.25">
      <c r="B32" s="120" t="s">
        <v>32</v>
      </c>
      <c r="C32" s="120"/>
      <c r="D32" s="28"/>
      <c r="E32" s="25">
        <f>+$D$4</f>
        <v>0.04</v>
      </c>
      <c r="F32" s="25">
        <f t="shared" ref="F32:L32" si="20">+$D$4</f>
        <v>0.04</v>
      </c>
      <c r="G32" s="25">
        <f t="shared" si="20"/>
        <v>0.04</v>
      </c>
      <c r="H32" s="25">
        <f t="shared" si="20"/>
        <v>0.04</v>
      </c>
      <c r="I32" s="25">
        <f t="shared" si="20"/>
        <v>0.04</v>
      </c>
      <c r="J32" s="25">
        <f t="shared" si="20"/>
        <v>0.04</v>
      </c>
      <c r="K32" s="25">
        <f t="shared" si="20"/>
        <v>0.04</v>
      </c>
      <c r="L32" s="25">
        <f t="shared" si="20"/>
        <v>0.04</v>
      </c>
    </row>
    <row r="33" spans="2:12" ht="22.5" customHeight="1" x14ac:dyDescent="0.25">
      <c r="B33" s="120" t="s">
        <v>33</v>
      </c>
      <c r="C33" s="120"/>
      <c r="D33" s="28">
        <f>+D30/1.08^0</f>
        <v>-2500</v>
      </c>
      <c r="E33" s="30">
        <f>+E30/(1+E32)^1</f>
        <v>984.13461538461536</v>
      </c>
      <c r="F33" s="30">
        <f>+F30/(1+F32)^2</f>
        <v>2529.8805011094778</v>
      </c>
      <c r="G33" s="30">
        <f>+G30/(1+G32)^3</f>
        <v>4149.3339136997838</v>
      </c>
      <c r="H33" s="30">
        <f>+H30/(1+H32)^4</f>
        <v>5848.7095320218905</v>
      </c>
      <c r="I33" s="30">
        <f>+I30/(1+I32)^5</f>
        <v>7634.6151178499167</v>
      </c>
      <c r="J33" s="30">
        <f>+J30/(1+J32)^6</f>
        <v>9514.0803814321353</v>
      </c>
      <c r="K33" s="30">
        <f>+K30/(1+K32)^7</f>
        <v>11494.587799011864</v>
      </c>
      <c r="L33" s="30">
        <f>+L30/(1+L32)^8</f>
        <v>13584.105520399915</v>
      </c>
    </row>
    <row r="34" spans="2:12" ht="22.5" customHeight="1" x14ac:dyDescent="0.25">
      <c r="B34" s="123" t="s">
        <v>45</v>
      </c>
      <c r="C34" s="123"/>
      <c r="D34" s="53">
        <f>+D33</f>
        <v>-2500</v>
      </c>
      <c r="E34" s="53">
        <f>+D34+E33</f>
        <v>-1515.8653846153848</v>
      </c>
      <c r="F34" s="53">
        <f t="shared" ref="F34:L34" si="21">+E34+F33</f>
        <v>1014.015116494093</v>
      </c>
      <c r="G34" s="53">
        <f t="shared" si="21"/>
        <v>5163.3490301938764</v>
      </c>
      <c r="H34" s="53">
        <f t="shared" si="21"/>
        <v>11012.058562215767</v>
      </c>
      <c r="I34" s="53">
        <f t="shared" si="21"/>
        <v>18646.673680065684</v>
      </c>
      <c r="J34" s="53">
        <f t="shared" si="21"/>
        <v>28160.754061497821</v>
      </c>
      <c r="K34" s="53">
        <f t="shared" si="21"/>
        <v>39655.341860509681</v>
      </c>
      <c r="L34" s="53">
        <f t="shared" si="21"/>
        <v>53239.447380909594</v>
      </c>
    </row>
    <row r="35" spans="2:12" ht="22.5" customHeight="1" x14ac:dyDescent="0.25">
      <c r="B35" s="122" t="s">
        <v>40</v>
      </c>
      <c r="C35" s="122"/>
      <c r="D35" s="52">
        <f>AVERAGE(E17:L17)/AVERAGE(D24:L24)</f>
        <v>6.7813321263049202</v>
      </c>
      <c r="E35" s="32"/>
      <c r="F35" s="32"/>
      <c r="G35" s="32"/>
      <c r="H35" s="32"/>
      <c r="I35" s="32"/>
      <c r="J35" s="32"/>
      <c r="K35" s="32"/>
      <c r="L35" s="32"/>
    </row>
    <row r="36" spans="2:12" ht="22.5" customHeight="1" x14ac:dyDescent="0.25">
      <c r="B36" s="121" t="s">
        <v>16</v>
      </c>
      <c r="C36" s="121"/>
      <c r="D36" s="28">
        <f>+SUM(D33:L33)</f>
        <v>53239.447380909594</v>
      </c>
      <c r="E36" s="32"/>
      <c r="F36" s="32"/>
      <c r="G36" s="32"/>
      <c r="H36" s="32"/>
      <c r="I36" s="32"/>
      <c r="J36" s="32"/>
      <c r="K36" s="2"/>
    </row>
    <row r="37" spans="2:12" ht="22.5" customHeight="1" x14ac:dyDescent="0.25">
      <c r="B37" s="121" t="s">
        <v>7</v>
      </c>
      <c r="C37" s="121"/>
      <c r="D37" s="33">
        <f>IRR(D30:L30)</f>
        <v>1.0903427613924959</v>
      </c>
      <c r="E37" s="34"/>
      <c r="F37" s="34"/>
      <c r="G37" s="34"/>
      <c r="H37" s="34"/>
      <c r="I37" s="34"/>
      <c r="J37" s="34"/>
      <c r="K37" s="2"/>
    </row>
    <row r="38" spans="2:12" ht="22.5" customHeight="1" x14ac:dyDescent="0.25">
      <c r="B38" s="121" t="s">
        <v>43</v>
      </c>
      <c r="C38" s="121"/>
      <c r="D38" s="27">
        <f>4-H31/I30</f>
        <v>2.6252704775003073</v>
      </c>
      <c r="E38" s="34">
        <f>(MOD(D38,1))*12</f>
        <v>7.5032457300036874</v>
      </c>
      <c r="F38" s="115">
        <f>(MOD(E38,1))*30</f>
        <v>15.097371900110623</v>
      </c>
      <c r="G38" s="115"/>
      <c r="H38" s="34"/>
      <c r="I38" s="34"/>
      <c r="J38" s="34"/>
      <c r="K38" s="2"/>
    </row>
    <row r="39" spans="2:12" ht="22.5" customHeight="1" x14ac:dyDescent="0.25">
      <c r="B39" s="121" t="s">
        <v>44</v>
      </c>
      <c r="C39" s="121"/>
      <c r="D39" s="27">
        <f>6-J34/K33</f>
        <v>3.5500857835094646</v>
      </c>
      <c r="E39" s="34"/>
      <c r="F39" s="115"/>
      <c r="G39" s="115"/>
      <c r="H39" s="34"/>
      <c r="I39" s="34"/>
      <c r="J39" s="34"/>
      <c r="K39" s="2"/>
    </row>
    <row r="40" spans="2:12" ht="22.5" customHeight="1" x14ac:dyDescent="0.25">
      <c r="B40" s="54"/>
      <c r="C40" s="54"/>
      <c r="D40" s="55"/>
      <c r="E40" s="34"/>
      <c r="F40" s="34"/>
      <c r="G40" s="34"/>
      <c r="H40" s="34"/>
      <c r="I40" s="34"/>
      <c r="J40" s="34"/>
      <c r="K40" s="2"/>
    </row>
    <row r="41" spans="2:12" ht="22.5" customHeight="1" thickBot="1" x14ac:dyDescent="0.3">
      <c r="B41" s="4"/>
      <c r="C41" s="6"/>
      <c r="D41" s="7"/>
      <c r="E41" s="7"/>
      <c r="F41" s="5"/>
      <c r="G41" s="5"/>
      <c r="H41" s="5"/>
      <c r="I41" s="5"/>
      <c r="J41" s="5"/>
      <c r="K41" s="2"/>
    </row>
    <row r="42" spans="2:12" ht="22.5" customHeight="1" x14ac:dyDescent="0.25">
      <c r="B42" s="4"/>
      <c r="C42" s="39" t="s">
        <v>34</v>
      </c>
      <c r="E42" s="48"/>
    </row>
    <row r="43" spans="2:12" ht="22.5" customHeight="1" x14ac:dyDescent="0.25">
      <c r="C43" s="40" t="s">
        <v>35</v>
      </c>
    </row>
    <row r="44" spans="2:12" ht="22.5" customHeight="1" thickBot="1" x14ac:dyDescent="0.3">
      <c r="C44" s="41" t="s">
        <v>36</v>
      </c>
    </row>
  </sheetData>
  <sheetProtection sheet="1" objects="1" scenarios="1" selectLockedCells="1" selectUnlockedCells="1"/>
  <mergeCells count="36">
    <mergeCell ref="B11:C11"/>
    <mergeCell ref="B12:C12"/>
    <mergeCell ref="B13:C13"/>
    <mergeCell ref="B3:C3"/>
    <mergeCell ref="B4:C4"/>
    <mergeCell ref="B6:C6"/>
    <mergeCell ref="B9:C9"/>
    <mergeCell ref="B10:C10"/>
    <mergeCell ref="B14:C14"/>
    <mergeCell ref="B15:C15"/>
    <mergeCell ref="B16:C16"/>
    <mergeCell ref="B17:C17"/>
    <mergeCell ref="B18:C18"/>
    <mergeCell ref="B38:C38"/>
    <mergeCell ref="B31:C31"/>
    <mergeCell ref="B19:C19"/>
    <mergeCell ref="B21:C21"/>
    <mergeCell ref="B22:C22"/>
    <mergeCell ref="B23:C23"/>
    <mergeCell ref="B24:C24"/>
    <mergeCell ref="F39:G39"/>
    <mergeCell ref="B8:C8"/>
    <mergeCell ref="B2:C2"/>
    <mergeCell ref="B33:C33"/>
    <mergeCell ref="B36:C36"/>
    <mergeCell ref="B37:C37"/>
    <mergeCell ref="B35:C35"/>
    <mergeCell ref="B34:C34"/>
    <mergeCell ref="F38:G38"/>
    <mergeCell ref="B39:C39"/>
    <mergeCell ref="B28:C28"/>
    <mergeCell ref="B29:C29"/>
    <mergeCell ref="B30:C30"/>
    <mergeCell ref="B32:C32"/>
    <mergeCell ref="B26:C26"/>
    <mergeCell ref="B27:C27"/>
  </mergeCells>
  <phoneticPr fontId="9" type="noConversion"/>
  <pageMargins left="0.19685039370078741" right="0.19685039370078741" top="0.59055118110236227" bottom="0.39370078740157483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SIMULADOR</vt:lpstr>
      <vt:lpstr>Calculo Auxiliares</vt:lpstr>
      <vt:lpstr>'Calculo Auxiliares'!Área_de_Impressão</vt:lpstr>
      <vt:lpstr>'Calculo Auxiliares'!DEPREC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Pinto</dc:creator>
  <cp:lastModifiedBy>Loja 9 - José Paiva</cp:lastModifiedBy>
  <cp:lastPrinted>2013-10-18T12:32:02Z</cp:lastPrinted>
  <dcterms:created xsi:type="dcterms:W3CDTF">2013-10-09T13:26:38Z</dcterms:created>
  <dcterms:modified xsi:type="dcterms:W3CDTF">2025-02-03T12:26:59Z</dcterms:modified>
</cp:coreProperties>
</file>